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1055" firstSheet="2" activeTab="2"/>
  </bookViews>
  <sheets>
    <sheet name="рабочий (2)" sheetId="1" state="hidden" r:id="rId1"/>
    <sheet name="II этап" sheetId="2" state="hidden" r:id="rId2"/>
    <sheet name="Заявка" sheetId="3" r:id="rId3"/>
  </sheets>
  <definedNames/>
  <calcPr fullCalcOnLoad="1"/>
</workbook>
</file>

<file path=xl/sharedStrings.xml><?xml version="1.0" encoding="utf-8"?>
<sst xmlns="http://schemas.openxmlformats.org/spreadsheetml/2006/main" count="1041" uniqueCount="210">
  <si>
    <t>ЗАЯВКА</t>
  </si>
  <si>
    <t>наименование заявителя (юридического лица/индивидуального предпринимателя/Ф.И.О физического лица)</t>
  </si>
  <si>
    <t>просит:</t>
  </si>
  <si>
    <t xml:space="preserve">восстановить </t>
  </si>
  <si>
    <t xml:space="preserve">выдать дубликаты </t>
  </si>
  <si>
    <t>переоформить</t>
  </si>
  <si>
    <t>акт ТП</t>
  </si>
  <si>
    <t>ТУ</t>
  </si>
  <si>
    <t>акт разграничения БП и ЭО</t>
  </si>
  <si>
    <t xml:space="preserve">в связи с: </t>
  </si>
  <si>
    <t xml:space="preserve">утратой документов о технологическом присоединении </t>
  </si>
  <si>
    <t>необходимостью указания информации о максимальной мощности ЭПУ</t>
  </si>
  <si>
    <t>сменой собственника /законного владельца ЭПУ</t>
  </si>
  <si>
    <t>иными обстоятельствами, требующими внесения изменений в документы</t>
  </si>
  <si>
    <t xml:space="preserve">           При невозможности восстановления (выдачи дубликатов) ранее выданных документов, просим выдать новые технические условия и акты согласно имеющейся схеме электроснабжения с указанием максимальной мощности, равной фактически потребляемой максимальной мощности за последние 5 лет, либо исходя из представленных достоверных данных об объемах ранее присоединенной в установленном порядке максимальной мощности.      </t>
  </si>
  <si>
    <t xml:space="preserve">Сведения о технологическом присоединении: </t>
  </si>
  <si>
    <t xml:space="preserve">максимальная мощность кВт </t>
  </si>
  <si>
    <t>(ранее выделенная или фактически потребляемая)</t>
  </si>
  <si>
    <t>категория надежности</t>
  </si>
  <si>
    <t>наименование</t>
  </si>
  <si>
    <t xml:space="preserve">Сведения идентифицирующие объект электроснабжения: </t>
  </si>
  <si>
    <t xml:space="preserve">адрес расположения объекта, местонахождения ЭПУ </t>
  </si>
  <si>
    <t>Реквизиты заявителя:</t>
  </si>
  <si>
    <t>число</t>
  </si>
  <si>
    <t>месяц</t>
  </si>
  <si>
    <t>год</t>
  </si>
  <si>
    <t>№ записи ЕГРЮЛ (ОГРН)</t>
  </si>
  <si>
    <t xml:space="preserve">К заявке прилагаются: </t>
  </si>
  <si>
    <t>________________________/</t>
  </si>
  <si>
    <t>подпись</t>
  </si>
  <si>
    <t xml:space="preserve">ФИО </t>
  </si>
  <si>
    <t xml:space="preserve">должность </t>
  </si>
  <si>
    <t>м.п.</t>
  </si>
  <si>
    <t xml:space="preserve"> </t>
  </si>
  <si>
    <t xml:space="preserve">действующего договора от </t>
  </si>
  <si>
    <t xml:space="preserve">изменением условий ТП по окончании срока действия ТУ в рамках </t>
  </si>
  <si>
    <t>"__" ______ ______г., ТУ от "__" ______ ______г.</t>
  </si>
  <si>
    <r>
      <rPr>
        <b/>
        <sz val="8"/>
        <color indexed="8"/>
        <rFont val="Calibri"/>
        <family val="2"/>
      </rPr>
      <t>ЭПУ</t>
    </r>
    <r>
      <rPr>
        <sz val="8"/>
        <color indexed="8"/>
        <rFont val="Calibri"/>
        <family val="2"/>
      </rPr>
      <t xml:space="preserve"> - Энергопринимающие устройства</t>
    </r>
  </si>
  <si>
    <r>
      <rPr>
        <b/>
        <sz val="8"/>
        <color indexed="8"/>
        <rFont val="Calibri"/>
        <family val="2"/>
      </rPr>
      <t>ТУ</t>
    </r>
    <r>
      <rPr>
        <sz val="8"/>
        <color indexed="8"/>
        <rFont val="Calibri"/>
        <family val="2"/>
      </rPr>
      <t xml:space="preserve"> - технические условия </t>
    </r>
  </si>
  <si>
    <r>
      <rPr>
        <b/>
        <sz val="8"/>
        <color indexed="8"/>
        <rFont val="Calibri"/>
        <family val="2"/>
      </rPr>
      <t xml:space="preserve">ТП </t>
    </r>
    <r>
      <rPr>
        <sz val="8"/>
        <color indexed="8"/>
        <rFont val="Calibri"/>
        <family val="2"/>
      </rPr>
      <t xml:space="preserve">- технологическое присоединение </t>
    </r>
  </si>
  <si>
    <r>
      <rPr>
        <b/>
        <sz val="8"/>
        <color indexed="8"/>
        <rFont val="Calibri"/>
        <family val="2"/>
      </rPr>
      <t xml:space="preserve">БП и ЭО </t>
    </r>
    <r>
      <rPr>
        <sz val="8"/>
        <color indexed="8"/>
        <rFont val="Calibri"/>
        <family val="2"/>
      </rPr>
      <t xml:space="preserve">- баллансовая принадлежность и эксплуатационная ответственность </t>
    </r>
  </si>
  <si>
    <t>установленная мощность кВт</t>
  </si>
  <si>
    <t xml:space="preserve">            В соответствии с п. 27 "Правил технологического присоединения …"* просим выставить счет для компенсации затрат на изготовление технических условий и указанных актов. </t>
  </si>
  <si>
    <t>Потребитель</t>
  </si>
  <si>
    <t>Дата регистрации</t>
  </si>
  <si>
    <t>ОГРН</t>
  </si>
  <si>
    <t>ООО «МОСКВА-СОКОЛ»</t>
  </si>
  <si>
    <t>ОАО «КБ-1»</t>
  </si>
  <si>
    <t>ЗАО «Социум-Сооружение»</t>
  </si>
  <si>
    <t>ЗАО «Дом»</t>
  </si>
  <si>
    <t>ООО «Сооружение»</t>
  </si>
  <si>
    <t>ООО «Социум-Банк»</t>
  </si>
  <si>
    <t>ООО «ВПК-Телеком»</t>
  </si>
  <si>
    <t>ООО ЧОП «ВПК-Безопасность»</t>
  </si>
  <si>
    <t>1037739386860</t>
  </si>
  <si>
    <t>1027739010342</t>
  </si>
  <si>
    <t>5137746037556</t>
  </si>
  <si>
    <t>5137746037567</t>
  </si>
  <si>
    <t>1147746634090</t>
  </si>
  <si>
    <t>1037739058609</t>
  </si>
  <si>
    <t>1027739833483</t>
  </si>
  <si>
    <t>1037700011194</t>
  </si>
  <si>
    <t>09</t>
  </si>
  <si>
    <t>01</t>
  </si>
  <si>
    <t>2003</t>
  </si>
  <si>
    <t>Фактич. мощность</t>
  </si>
  <si>
    <t>Уст.мощность, кВт</t>
  </si>
  <si>
    <t>Разреш.мощность, кВА</t>
  </si>
  <si>
    <r>
      <t xml:space="preserve">доверенность или иные документы, подтверждающие полномочия представителя Заявителя:
</t>
    </r>
    <r>
      <rPr>
        <i/>
        <u val="single"/>
        <sz val="10.5"/>
        <color indexed="8"/>
        <rFont val="Calibri"/>
        <family val="2"/>
      </rPr>
      <t>Протокол об избрании генерального директора</t>
    </r>
  </si>
  <si>
    <r>
      <t xml:space="preserve">копия документа, подтверждающего право собственности или иное предусмотренное законом основание на  ЭПУ:
</t>
    </r>
    <r>
      <rPr>
        <i/>
        <u val="single"/>
        <sz val="10.5"/>
        <color indexed="8"/>
        <rFont val="Calibri"/>
        <family val="2"/>
      </rPr>
      <t>Сведетельство о гос. регистрации права собственности</t>
    </r>
  </si>
  <si>
    <t>копия акта разграничения БП и ЭО, акта ТП, в том числе оформленных на предыдущего собственника или иного законного владельца ранее присоединенных ЭПУ (при наличии)_____________________________________</t>
  </si>
  <si>
    <t>копия ТУ, в том чсиле оформленных на предыдущего собственника или иного законного владельца ранее присоединенных ЭПУ (при наличии)</t>
  </si>
  <si>
    <r>
      <t xml:space="preserve">копии разделов проектной документации, предусматривающих технические решения, обеспечивающие выполнение ТУ (прилагаются при отсутствии ТУ или отсутствии в них информации о максимальной мощности ЭПУ </t>
    </r>
    <r>
      <rPr>
        <sz val="8"/>
        <color indexed="8"/>
        <rFont val="Calibri"/>
        <family val="2"/>
      </rPr>
      <t>(если в соответствии с законодательством РФ о градостроительной деятельности разработка проектной документации являлась обязательной)</t>
    </r>
    <r>
      <rPr>
        <sz val="11"/>
        <color theme="1"/>
        <rFont val="Calibri"/>
        <family val="2"/>
      </rPr>
      <t xml:space="preserve"> __________________________________________</t>
    </r>
  </si>
  <si>
    <t>копии иных документов, подтвердающих факт технологического присоединения ЭПУ к электрическим сетям (в том числе оформленных на предыдущего собственника ЭПУ):</t>
  </si>
  <si>
    <t>Ресурс</t>
  </si>
  <si>
    <t>Теплоэнергия, Гкал</t>
  </si>
  <si>
    <t>Электропотребление кВт.ч</t>
  </si>
  <si>
    <t xml:space="preserve">ЗАО ЦАЭ «Алмаз» </t>
  </si>
  <si>
    <t>ВПК-Энерго</t>
  </si>
  <si>
    <t>Счетчики</t>
  </si>
  <si>
    <t>ТАРИФЫ с 01.01.2013г.</t>
  </si>
  <si>
    <t xml:space="preserve">Тариф –  руб/Гкал 
</t>
  </si>
  <si>
    <t>Тариф водопотр.</t>
  </si>
  <si>
    <t>с НДС</t>
  </si>
  <si>
    <t>Сумма</t>
  </si>
  <si>
    <t>Электропотреб. по счетчику,  кВт.ч.</t>
  </si>
  <si>
    <r>
      <t xml:space="preserve">Электропотреб. по площади,  кВт.ч. </t>
    </r>
  </si>
  <si>
    <t>Усредн. тариф, руб/кВт.ч</t>
  </si>
  <si>
    <t>Потребле-
ние электро-
энергии, кВт.ч</t>
  </si>
  <si>
    <t>Тариф  кВт.ч.</t>
  </si>
  <si>
    <t>Оплата с НДС, руб</t>
  </si>
  <si>
    <t>площадь кв.м</t>
  </si>
  <si>
    <t>% площадки</t>
  </si>
  <si>
    <t>(с НДС –  руб/Гкал)</t>
  </si>
  <si>
    <t xml:space="preserve">Тариф водоотв. </t>
  </si>
  <si>
    <t>Плошади</t>
  </si>
  <si>
    <t>Месяц</t>
  </si>
  <si>
    <t>Отопление по счетчику</t>
  </si>
  <si>
    <t>ГВС по счетчику</t>
  </si>
  <si>
    <t>Отопление по площади</t>
  </si>
  <si>
    <t>ГВС по площади</t>
  </si>
  <si>
    <t>Всего Гкал</t>
  </si>
  <si>
    <r>
      <t xml:space="preserve">Водопотреб. по площади, м3 </t>
    </r>
  </si>
  <si>
    <t>Январь</t>
  </si>
  <si>
    <t>Февраль</t>
  </si>
  <si>
    <t>Март</t>
  </si>
  <si>
    <t>Апрель</t>
  </si>
  <si>
    <t>Май</t>
  </si>
  <si>
    <t xml:space="preserve"> Июнь</t>
  </si>
  <si>
    <t>ТАРИФЫ с 01.07.2013г.</t>
  </si>
  <si>
    <t>Тариф водоотв.</t>
  </si>
  <si>
    <t xml:space="preserve"> Июль</t>
  </si>
  <si>
    <t>Август</t>
  </si>
  <si>
    <t>Сентябрь</t>
  </si>
  <si>
    <t xml:space="preserve"> Октябрь</t>
  </si>
  <si>
    <t xml:space="preserve"> Ноябрь</t>
  </si>
  <si>
    <t xml:space="preserve"> Декабрь</t>
  </si>
  <si>
    <t>Итого:</t>
  </si>
  <si>
    <t xml:space="preserve">ООО «Северный город XXI»  </t>
  </si>
  <si>
    <t xml:space="preserve">ООО «СКГрад»  </t>
  </si>
  <si>
    <t xml:space="preserve">ООО «КристаРайс»  </t>
  </si>
  <si>
    <t xml:space="preserve">ОАО «ГСКБ «Алмаз-Антей» (НИИРП) </t>
  </si>
  <si>
    <t xml:space="preserve">ООО «МОСКВА-СОКОЛ»  +корп. 66 </t>
  </si>
  <si>
    <t xml:space="preserve">ОАО «ГСКБ «Алмаз-Антей» </t>
  </si>
  <si>
    <t>Ф-501/546324</t>
  </si>
  <si>
    <t>Ф-506/778731</t>
  </si>
  <si>
    <t>Ф-509/778638</t>
  </si>
  <si>
    <t>Ф-510/779201</t>
  </si>
  <si>
    <t>Ф-511/778514</t>
  </si>
  <si>
    <t>Ф-515/568721</t>
  </si>
  <si>
    <t>Ф-518/018498</t>
  </si>
  <si>
    <t>Ф-521/778724</t>
  </si>
  <si>
    <t>Ф-522/940705</t>
  </si>
  <si>
    <t>Ф-526/546369</t>
  </si>
  <si>
    <t>Ф-531/018423</t>
  </si>
  <si>
    <t>Ф-539/544539</t>
  </si>
  <si>
    <t>Ф-540/778547</t>
  </si>
  <si>
    <t>Ф-543/772123</t>
  </si>
  <si>
    <t>Ф-544/778922</t>
  </si>
  <si>
    <t>Ф-545/770341</t>
  </si>
  <si>
    <t>Ф-556/778703</t>
  </si>
  <si>
    <t>ООО «А+Бизнес-центр»</t>
  </si>
  <si>
    <t xml:space="preserve">ООО ЧОП «ВПК-Безопасность» </t>
  </si>
  <si>
    <t xml:space="preserve">ОАО «КБ-1» </t>
  </si>
  <si>
    <t>ОАО «Опытное производство»</t>
  </si>
  <si>
    <t>80, к.42 (274,8 кв.м)</t>
  </si>
  <si>
    <t>80, к.16 (15519,9 кв.м)</t>
  </si>
  <si>
    <t>ЗАО «ДОМ»</t>
  </si>
  <si>
    <t xml:space="preserve">ООО «ВПК-Сооружение» </t>
  </si>
  <si>
    <t>ООО «Стадиум Лайв» (ЗИОСАБ)</t>
  </si>
  <si>
    <t xml:space="preserve">  </t>
  </si>
  <si>
    <t>Расчетная</t>
  </si>
  <si>
    <t>Оплата с НДС, руб (выставлено)</t>
  </si>
  <si>
    <r>
      <t xml:space="preserve">Сумма, м3 </t>
    </r>
  </si>
  <si>
    <t>Потребление Теплоэнергии за 2013 год</t>
  </si>
  <si>
    <t>Выработка, Гкал</t>
  </si>
  <si>
    <t>% потерь</t>
  </si>
  <si>
    <t>Потери,
Гкал</t>
  </si>
  <si>
    <t>Отпущено в сеть, Гкал</t>
  </si>
  <si>
    <t>Собственные нужды Гкал</t>
  </si>
  <si>
    <t>Отпущено, Гкал</t>
  </si>
  <si>
    <t>Полезный отпуск (расчетный), Гкал</t>
  </si>
  <si>
    <t>Июнь</t>
  </si>
  <si>
    <t>Июль</t>
  </si>
  <si>
    <t>Октябрь</t>
  </si>
  <si>
    <t>Ноябрь</t>
  </si>
  <si>
    <t>Декабрь</t>
  </si>
  <si>
    <t>Итого за год:</t>
  </si>
  <si>
    <t>ООО  СОЦИУМ-БАНК</t>
  </si>
  <si>
    <t>Всего</t>
  </si>
  <si>
    <r>
      <t>Водопотребление и водоотведение, м</t>
    </r>
    <r>
      <rPr>
        <vertAlign val="superscript"/>
        <sz val="12"/>
        <rFont val="Calibri"/>
        <family val="2"/>
      </rPr>
      <t>3</t>
    </r>
  </si>
  <si>
    <r>
      <t>Водопотреб. по счетчику, м</t>
    </r>
    <r>
      <rPr>
        <vertAlign val="superscript"/>
        <sz val="12"/>
        <rFont val="Calibri"/>
        <family val="2"/>
      </rPr>
      <t>3</t>
    </r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</si>
  <si>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</si>
  <si>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</si>
  <si>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</si>
  <si>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</si>
  <si>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</si>
  <si>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</si>
  <si>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</si>
  <si>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 xml:space="preserve">* 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объектгов электросетевого хозяйства, принадлежащих сетевым организациям и иным лицам, к электрическим сетям (утв. постановлением Правительства РФ №861 от 27.12.2004 г.) </t>
  </si>
  <si>
    <t>02</t>
  </si>
  <si>
    <t>08</t>
  </si>
  <si>
    <t>12</t>
  </si>
  <si>
    <t>11</t>
  </si>
  <si>
    <t>06</t>
  </si>
  <si>
    <t>2002</t>
  </si>
  <si>
    <t>1997</t>
  </si>
  <si>
    <t>2013</t>
  </si>
  <si>
    <t>2014</t>
  </si>
  <si>
    <t>1994</t>
  </si>
  <si>
    <t>2007</t>
  </si>
  <si>
    <t>8.    </t>
  </si>
  <si>
    <t>№ пп</t>
  </si>
  <si>
    <t>Уст.мощность по факт.эл.потр, кВт</t>
  </si>
  <si>
    <t>Уст.мощность по факт оборуд., кВт</t>
  </si>
  <si>
    <t xml:space="preserve"> - потребители мощностью свыше 750 кВт</t>
  </si>
  <si>
    <t>"Врагам" остается:</t>
  </si>
  <si>
    <t>Уст.мощность</t>
  </si>
  <si>
    <t>Разреш.мощность</t>
  </si>
  <si>
    <t>из    11 450 кВА</t>
  </si>
  <si>
    <t>из     19 430 кВт</t>
  </si>
  <si>
    <t xml:space="preserve">      II этап - подтверждение</t>
  </si>
  <si>
    <t>Разрешенная мощность, кВА</t>
  </si>
  <si>
    <r>
      <rPr>
        <b/>
        <sz val="12"/>
        <color indexed="8"/>
        <rFont val="Calibri"/>
        <family val="2"/>
      </rPr>
      <t>Уст.мощность
1 этапа</t>
    </r>
    <r>
      <rPr>
        <sz val="12"/>
        <color indexed="8"/>
        <rFont val="Calibri"/>
        <family val="2"/>
      </rPr>
      <t xml:space="preserve"> принимается по факт.оборуд., кВт</t>
    </r>
  </si>
  <si>
    <r>
      <t xml:space="preserve">№ </t>
    </r>
    <r>
      <rPr>
        <u val="single"/>
        <sz val="11"/>
        <color indexed="8"/>
        <rFont val="Calibri"/>
        <family val="2"/>
      </rPr>
      <t xml:space="preserve">                </t>
    </r>
    <r>
      <rPr>
        <i/>
        <u val="single"/>
        <sz val="11"/>
        <color indexed="8"/>
        <rFont val="Calibri"/>
        <family val="2"/>
      </rPr>
      <t xml:space="preserve">    </t>
    </r>
    <r>
      <rPr>
        <u val="single"/>
        <sz val="11"/>
        <color indexed="8"/>
        <rFont val="Calibri"/>
        <family val="2"/>
      </rPr>
      <t xml:space="preserve">                   </t>
    </r>
  </si>
  <si>
    <t>__________________/</t>
  </si>
  <si>
    <t>"       "</t>
  </si>
  <si>
    <t xml:space="preserve">на переоформление мощности (документов, подтверждающих 
технологическое присоединение), а также изготовление дубликатов, восстановление технических условий и актов о технологическом присоединении энергопринимающих устройств к электрической сети ООО "СОЦИУМ-СООРУЖЕНИЕ"  
</t>
  </si>
  <si>
    <t>2016 г.</t>
  </si>
  <si>
    <t xml:space="preserve">заполняется персоналом 
ООО "СОЦИУМ-СООРУЖЕНИЕ"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</si>
</sst>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"/>
    <numFmt numFmtId="166" formatCode="0.00;[Red]0.00"/>
    <numFmt numFmtId="167" formatCode="0.0000;[Red]0.0000"/>
    <numFmt numFmtId="168" formatCode="0.000"/>
    <numFmt numFmtId="169" formatCode="_-* #,##0.00000_р_._-;\-* #,##0.00000_р_._-;_-* &quot;-&quot;?????_р_._-;_-@_-"/>
    <numFmt numFmtId="170" formatCode="_-* #,##0.000_р_._-;\-* #,##0.000_р_._-;_-* &quot;-&quot;??_р_._-;_-@_-"/>
    <numFmt numFmtId="171" formatCode="_-* #,##0.00000_р_._-;\-* #,##0.00000_р_._-;_-* &quot;-&quot;??_р_._-;_-@_-"/>
    <numFmt numFmtId="172" formatCode="0.000;[Red]0.000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#,##0.00;[Red]#,##0.00"/>
    <numFmt numFmtId="176" formatCode="0.0"/>
    <numFmt numFmtId="177" formatCode="_-* #,##0.0_р_._-;\-* #,##0.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0.5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54" fillId="33" borderId="0" xfId="0" applyNumberFormat="1" applyFont="1" applyFill="1" applyBorder="1" applyAlignment="1">
      <alignment horizontal="left"/>
    </xf>
    <xf numFmtId="49" fontId="54" fillId="33" borderId="0" xfId="0" applyNumberFormat="1" applyFont="1" applyFill="1" applyBorder="1" applyAlignment="1">
      <alignment horizontal="left" wrapText="1"/>
    </xf>
    <xf numFmtId="49" fontId="0" fillId="33" borderId="0" xfId="0" applyNumberFormat="1" applyFill="1" applyAlignment="1">
      <alignment/>
    </xf>
    <xf numFmtId="49" fontId="55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/>
    </xf>
    <xf numFmtId="49" fontId="0" fillId="33" borderId="11" xfId="0" applyNumberFormat="1" applyFill="1" applyBorder="1" applyAlignment="1">
      <alignment/>
    </xf>
    <xf numFmtId="43" fontId="0" fillId="33" borderId="0" xfId="59" applyFont="1" applyFill="1" applyAlignment="1">
      <alignment/>
    </xf>
    <xf numFmtId="49" fontId="57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5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12" xfId="0" applyNumberForma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justify" vertical="center" wrapText="1"/>
    </xf>
    <xf numFmtId="49" fontId="54" fillId="33" borderId="14" xfId="0" applyNumberFormat="1" applyFont="1" applyFill="1" applyBorder="1" applyAlignment="1">
      <alignment horizontal="justify" vertical="center"/>
    </xf>
    <xf numFmtId="49" fontId="54" fillId="33" borderId="0" xfId="0" applyNumberFormat="1" applyFont="1" applyFill="1" applyBorder="1" applyAlignment="1">
      <alignment horizontal="justify" vertical="center" wrapText="1"/>
    </xf>
    <xf numFmtId="49" fontId="54" fillId="33" borderId="0" xfId="0" applyNumberFormat="1" applyFont="1" applyFill="1" applyBorder="1" applyAlignment="1">
      <alignment horizontal="justify" vertical="center"/>
    </xf>
    <xf numFmtId="49" fontId="54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0" fontId="10" fillId="0" borderId="0" xfId="52" applyFont="1" applyFill="1">
      <alignment/>
      <protection/>
    </xf>
    <xf numFmtId="0" fontId="9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165" fontId="10" fillId="0" borderId="0" xfId="52" applyNumberFormat="1" applyFont="1" applyFill="1">
      <alignment/>
      <protection/>
    </xf>
    <xf numFmtId="0" fontId="58" fillId="0" borderId="15" xfId="0" applyFont="1" applyFill="1" applyBorder="1" applyAlignment="1">
      <alignment horizontal="center" vertical="center" wrapText="1"/>
    </xf>
    <xf numFmtId="0" fontId="17" fillId="9" borderId="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18" fillId="34" borderId="15" xfId="52" applyFont="1" applyFill="1" applyBorder="1" applyAlignment="1">
      <alignment horizontal="center" vertical="center" wrapText="1"/>
      <protection/>
    </xf>
    <xf numFmtId="0" fontId="18" fillId="35" borderId="15" xfId="52" applyFont="1" applyFill="1" applyBorder="1" applyAlignment="1">
      <alignment horizontal="center" vertical="center" wrapText="1"/>
      <protection/>
    </xf>
    <xf numFmtId="0" fontId="18" fillId="35" borderId="15" xfId="61" applyNumberFormat="1" applyFont="1" applyFill="1" applyBorder="1" applyAlignment="1">
      <alignment horizontal="center" vertical="center" wrapText="1"/>
    </xf>
    <xf numFmtId="0" fontId="18" fillId="34" borderId="15" xfId="61" applyNumberFormat="1" applyFont="1" applyFill="1" applyBorder="1" applyAlignment="1">
      <alignment horizontal="center" vertical="center" wrapText="1"/>
    </xf>
    <xf numFmtId="0" fontId="18" fillId="0" borderId="15" xfId="61" applyNumberFormat="1" applyFont="1" applyFill="1" applyBorder="1" applyAlignment="1">
      <alignment horizontal="center" vertical="center" wrapText="1"/>
    </xf>
    <xf numFmtId="0" fontId="18" fillId="7" borderId="15" xfId="52" applyFont="1" applyFill="1" applyBorder="1" applyAlignment="1">
      <alignment horizontal="center" vertical="center"/>
      <protection/>
    </xf>
    <xf numFmtId="0" fontId="17" fillId="34" borderId="15" xfId="52" applyFont="1" applyFill="1" applyBorder="1" applyAlignment="1">
      <alignment horizontal="center" vertical="center" wrapText="1"/>
      <protection/>
    </xf>
    <xf numFmtId="0" fontId="18" fillId="3" borderId="15" xfId="52" applyFont="1" applyFill="1" applyBorder="1" applyAlignment="1">
      <alignment horizontal="center" vertical="center" wrapText="1"/>
      <protection/>
    </xf>
    <xf numFmtId="0" fontId="18" fillId="3" borderId="15" xfId="52" applyFont="1" applyFill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 wrapText="1"/>
      <protection/>
    </xf>
    <xf numFmtId="168" fontId="18" fillId="34" borderId="15" xfId="52" applyNumberFormat="1" applyFont="1" applyFill="1" applyBorder="1" applyAlignment="1">
      <alignment horizontal="center" vertical="center" wrapText="1"/>
      <protection/>
    </xf>
    <xf numFmtId="43" fontId="18" fillId="35" borderId="15" xfId="61" applyNumberFormat="1" applyFont="1" applyFill="1" applyBorder="1" applyAlignment="1">
      <alignment horizontal="center" vertical="center" wrapText="1"/>
    </xf>
    <xf numFmtId="43" fontId="18" fillId="35" borderId="15" xfId="61" applyFont="1" applyFill="1" applyBorder="1" applyAlignment="1">
      <alignment horizontal="center" vertical="center" wrapText="1"/>
    </xf>
    <xf numFmtId="170" fontId="18" fillId="35" borderId="15" xfId="61" applyNumberFormat="1" applyFont="1" applyFill="1" applyBorder="1" applyAlignment="1">
      <alignment horizontal="center" vertical="center" wrapText="1"/>
    </xf>
    <xf numFmtId="43" fontId="18" fillId="0" borderId="15" xfId="61" applyFont="1" applyFill="1" applyBorder="1" applyAlignment="1">
      <alignment horizontal="center" vertical="center" wrapText="1"/>
    </xf>
    <xf numFmtId="170" fontId="18" fillId="0" borderId="15" xfId="61" applyNumberFormat="1" applyFont="1" applyFill="1" applyBorder="1" applyAlignment="1">
      <alignment horizontal="center" vertical="center" wrapText="1"/>
    </xf>
    <xf numFmtId="43" fontId="18" fillId="34" borderId="15" xfId="61" applyFont="1" applyFill="1" applyBorder="1" applyAlignment="1">
      <alignment horizontal="center" vertical="center" wrapText="1"/>
    </xf>
    <xf numFmtId="170" fontId="18" fillId="34" borderId="15" xfId="61" applyNumberFormat="1" applyFont="1" applyFill="1" applyBorder="1" applyAlignment="1">
      <alignment horizontal="center" vertical="center" wrapText="1"/>
    </xf>
    <xf numFmtId="168" fontId="18" fillId="34" borderId="15" xfId="61" applyNumberFormat="1" applyFont="1" applyFill="1" applyBorder="1" applyAlignment="1">
      <alignment horizontal="center" vertical="center" wrapText="1"/>
    </xf>
    <xf numFmtId="2" fontId="18" fillId="34" borderId="15" xfId="52" applyNumberFormat="1" applyFont="1" applyFill="1" applyBorder="1" applyAlignment="1">
      <alignment horizontal="center" vertical="center" wrapText="1"/>
      <protection/>
    </xf>
    <xf numFmtId="172" fontId="18" fillId="34" borderId="15" xfId="52" applyNumberFormat="1" applyFont="1" applyFill="1" applyBorder="1" applyAlignment="1">
      <alignment horizontal="center" vertical="center" wrapText="1"/>
      <protection/>
    </xf>
    <xf numFmtId="172" fontId="18" fillId="34" borderId="15" xfId="61" applyNumberFormat="1" applyFont="1" applyFill="1" applyBorder="1" applyAlignment="1">
      <alignment horizontal="center" vertical="center" wrapText="1"/>
    </xf>
    <xf numFmtId="173" fontId="18" fillId="35" borderId="15" xfId="61" applyNumberFormat="1" applyFont="1" applyFill="1" applyBorder="1" applyAlignment="1">
      <alignment horizontal="center" vertical="center" wrapText="1"/>
    </xf>
    <xf numFmtId="173" fontId="18" fillId="34" borderId="15" xfId="61" applyNumberFormat="1" applyFont="1" applyFill="1" applyBorder="1" applyAlignment="1">
      <alignment horizontal="center" vertical="center" wrapText="1"/>
    </xf>
    <xf numFmtId="173" fontId="18" fillId="0" borderId="15" xfId="61" applyNumberFormat="1" applyFont="1" applyFill="1" applyBorder="1" applyAlignment="1">
      <alignment horizontal="center" vertical="center" wrapText="1"/>
    </xf>
    <xf numFmtId="175" fontId="18" fillId="34" borderId="15" xfId="61" applyNumberFormat="1" applyFont="1" applyFill="1" applyBorder="1" applyAlignment="1" applyProtection="1">
      <alignment horizontal="center" vertical="center"/>
      <protection locked="0"/>
    </xf>
    <xf numFmtId="0" fontId="18" fillId="0" borderId="15" xfId="52" applyFont="1" applyBorder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18" fillId="34" borderId="0" xfId="52" applyFont="1" applyFill="1" applyAlignment="1">
      <alignment horizontal="center" vertical="center"/>
      <protection/>
    </xf>
    <xf numFmtId="168" fontId="18" fillId="0" borderId="15" xfId="61" applyNumberFormat="1" applyFont="1" applyFill="1" applyBorder="1" applyAlignment="1">
      <alignment horizontal="center" vertical="center" wrapText="1"/>
    </xf>
    <xf numFmtId="169" fontId="18" fillId="0" borderId="15" xfId="61" applyNumberFormat="1" applyFont="1" applyFill="1" applyBorder="1" applyAlignment="1">
      <alignment horizontal="center" vertical="center" wrapText="1"/>
    </xf>
    <xf numFmtId="168" fontId="18" fillId="0" borderId="15" xfId="52" applyNumberFormat="1" applyFont="1" applyFill="1" applyBorder="1" applyAlignment="1">
      <alignment horizontal="center" vertical="center" wrapText="1"/>
      <protection/>
    </xf>
    <xf numFmtId="165" fontId="18" fillId="0" borderId="15" xfId="61" applyNumberFormat="1" applyFont="1" applyFill="1" applyBorder="1" applyAlignment="1">
      <alignment horizontal="center" vertical="center" wrapText="1"/>
    </xf>
    <xf numFmtId="43" fontId="17" fillId="0" borderId="15" xfId="61" applyNumberFormat="1" applyFont="1" applyFill="1" applyBorder="1" applyAlignment="1">
      <alignment horizontal="center" vertical="center" wrapText="1"/>
    </xf>
    <xf numFmtId="0" fontId="18" fillId="34" borderId="15" xfId="52" applyFont="1" applyFill="1" applyBorder="1" applyAlignment="1">
      <alignment horizontal="center" vertical="center"/>
      <protection/>
    </xf>
    <xf numFmtId="165" fontId="18" fillId="0" borderId="15" xfId="52" applyNumberFormat="1" applyFont="1" applyFill="1" applyBorder="1" applyAlignment="1">
      <alignment horizontal="center" vertical="center"/>
      <protection/>
    </xf>
    <xf numFmtId="171" fontId="18" fillId="0" borderId="15" xfId="61" applyNumberFormat="1" applyFont="1" applyFill="1" applyBorder="1" applyAlignment="1">
      <alignment horizontal="center" vertical="center" wrapText="1"/>
    </xf>
    <xf numFmtId="0" fontId="18" fillId="16" borderId="0" xfId="52" applyNumberFormat="1" applyFont="1" applyFill="1" applyAlignment="1">
      <alignment horizontal="center" vertical="center"/>
      <protection/>
    </xf>
    <xf numFmtId="168" fontId="18" fillId="35" borderId="15" xfId="52" applyNumberFormat="1" applyFont="1" applyFill="1" applyBorder="1" applyAlignment="1">
      <alignment horizontal="center" vertical="center" wrapText="1"/>
      <protection/>
    </xf>
    <xf numFmtId="172" fontId="18" fillId="35" borderId="15" xfId="61" applyNumberFormat="1" applyFont="1" applyFill="1" applyBorder="1" applyAlignment="1">
      <alignment horizontal="center" vertical="center" wrapText="1"/>
    </xf>
    <xf numFmtId="168" fontId="18" fillId="35" borderId="15" xfId="61" applyNumberFormat="1" applyFont="1" applyFill="1" applyBorder="1" applyAlignment="1">
      <alignment horizontal="center" vertical="center" wrapText="1"/>
    </xf>
    <xf numFmtId="172" fontId="18" fillId="0" borderId="15" xfId="61" applyNumberFormat="1" applyFont="1" applyFill="1" applyBorder="1" applyAlignment="1">
      <alignment horizontal="center" vertical="center" wrapText="1"/>
    </xf>
    <xf numFmtId="2" fontId="18" fillId="0" borderId="15" xfId="61" applyNumberFormat="1" applyFont="1" applyFill="1" applyBorder="1" applyAlignment="1">
      <alignment horizontal="center" vertical="center" wrapText="1"/>
    </xf>
    <xf numFmtId="166" fontId="18" fillId="34" borderId="15" xfId="61" applyNumberFormat="1" applyFont="1" applyFill="1" applyBorder="1" applyAlignment="1">
      <alignment horizontal="center" vertical="center" wrapText="1"/>
    </xf>
    <xf numFmtId="174" fontId="18" fillId="34" borderId="15" xfId="61" applyNumberFormat="1" applyFont="1" applyFill="1" applyBorder="1" applyAlignment="1">
      <alignment horizontal="center" vertical="center" wrapText="1"/>
    </xf>
    <xf numFmtId="174" fontId="18" fillId="0" borderId="15" xfId="61" applyNumberFormat="1" applyFont="1" applyFill="1" applyBorder="1" applyAlignment="1">
      <alignment horizontal="center" vertical="center" wrapText="1"/>
    </xf>
    <xf numFmtId="0" fontId="17" fillId="35" borderId="15" xfId="52" applyFont="1" applyFill="1" applyBorder="1" applyAlignment="1">
      <alignment horizontal="center" vertical="center" wrapText="1"/>
      <protection/>
    </xf>
    <xf numFmtId="175" fontId="18" fillId="34" borderId="15" xfId="61" applyNumberFormat="1" applyFont="1" applyFill="1" applyBorder="1" applyAlignment="1">
      <alignment horizontal="center" vertical="center" wrapText="1"/>
    </xf>
    <xf numFmtId="0" fontId="17" fillId="0" borderId="0" xfId="52" applyFont="1" applyFill="1" applyAlignment="1">
      <alignment horizontal="center" vertical="center"/>
      <protection/>
    </xf>
    <xf numFmtId="43" fontId="18" fillId="0" borderId="0" xfId="52" applyNumberFormat="1" applyFont="1" applyFill="1" applyAlignment="1">
      <alignment horizontal="center" vertical="center"/>
      <protection/>
    </xf>
    <xf numFmtId="165" fontId="18" fillId="0" borderId="0" xfId="52" applyNumberFormat="1" applyFont="1" applyFill="1" applyAlignment="1">
      <alignment horizontal="center" vertical="center"/>
      <protection/>
    </xf>
    <xf numFmtId="43" fontId="18" fillId="3" borderId="15" xfId="61" applyNumberFormat="1" applyFont="1" applyFill="1" applyBorder="1" applyAlignment="1">
      <alignment horizontal="center" vertical="center" wrapText="1"/>
    </xf>
    <xf numFmtId="175" fontId="18" fillId="3" borderId="15" xfId="61" applyNumberFormat="1" applyFont="1" applyFill="1" applyBorder="1" applyAlignment="1">
      <alignment horizontal="center" vertical="center" wrapText="1"/>
    </xf>
    <xf numFmtId="175" fontId="18" fillId="35" borderId="15" xfId="61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/>
      <protection/>
    </xf>
    <xf numFmtId="168" fontId="18" fillId="0" borderId="15" xfId="52" applyNumberFormat="1" applyFont="1" applyFill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43" fontId="18" fillId="0" borderId="15" xfId="52" applyNumberFormat="1" applyFont="1" applyFill="1" applyBorder="1" applyAlignment="1">
      <alignment horizontal="center" vertical="center"/>
      <protection/>
    </xf>
    <xf numFmtId="176" fontId="18" fillId="0" borderId="0" xfId="52" applyNumberFormat="1" applyFont="1" applyFill="1" applyAlignment="1">
      <alignment horizontal="center" vertical="center"/>
      <protection/>
    </xf>
    <xf numFmtId="176" fontId="10" fillId="0" borderId="0" xfId="52" applyNumberFormat="1" applyFont="1" applyFill="1">
      <alignment/>
      <protection/>
    </xf>
    <xf numFmtId="0" fontId="0" fillId="0" borderId="0" xfId="0" applyFont="1" applyAlignment="1">
      <alignment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/>
    </xf>
    <xf numFmtId="0" fontId="56" fillId="0" borderId="19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 wrapText="1"/>
      <protection/>
    </xf>
    <xf numFmtId="165" fontId="18" fillId="0" borderId="15" xfId="52" applyNumberFormat="1" applyFont="1" applyFill="1" applyBorder="1" applyAlignment="1">
      <alignment horizontal="center" vertical="center" wrapText="1"/>
      <protection/>
    </xf>
    <xf numFmtId="43" fontId="18" fillId="34" borderId="15" xfId="61" applyNumberFormat="1" applyFont="1" applyFill="1" applyBorder="1" applyAlignment="1">
      <alignment horizontal="center" vertical="center" wrapText="1"/>
    </xf>
    <xf numFmtId="165" fontId="18" fillId="34" borderId="15" xfId="61" applyNumberFormat="1" applyFont="1" applyFill="1" applyBorder="1" applyAlignment="1">
      <alignment horizontal="center" vertical="center" wrapText="1"/>
    </xf>
    <xf numFmtId="0" fontId="18" fillId="7" borderId="15" xfId="52" applyFont="1" applyFill="1" applyBorder="1" applyAlignment="1">
      <alignment horizontal="center" vertical="center" wrapText="1"/>
      <protection/>
    </xf>
    <xf numFmtId="0" fontId="18" fillId="9" borderId="15" xfId="52" applyFont="1" applyFill="1" applyBorder="1" applyAlignment="1">
      <alignment horizontal="center" vertical="center"/>
      <protection/>
    </xf>
    <xf numFmtId="43" fontId="18" fillId="0" borderId="15" xfId="61" applyNumberFormat="1" applyFont="1" applyFill="1" applyBorder="1" applyAlignment="1">
      <alignment horizontal="center" vertical="center" wrapText="1"/>
    </xf>
    <xf numFmtId="165" fontId="18" fillId="35" borderId="15" xfId="61" applyNumberFormat="1" applyFont="1" applyFill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/>
      <protection/>
    </xf>
    <xf numFmtId="0" fontId="18" fillId="16" borderId="0" xfId="52" applyFont="1" applyFill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10" borderId="13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/>
    </xf>
    <xf numFmtId="0" fontId="59" fillId="10" borderId="3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right"/>
    </xf>
    <xf numFmtId="0" fontId="58" fillId="0" borderId="32" xfId="0" applyFont="1" applyBorder="1" applyAlignment="1">
      <alignment/>
    </xf>
    <xf numFmtId="1" fontId="60" fillId="0" borderId="0" xfId="0" applyNumberFormat="1" applyFont="1" applyAlignment="1">
      <alignment/>
    </xf>
    <xf numFmtId="1" fontId="61" fillId="0" borderId="15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1" fontId="0" fillId="7" borderId="34" xfId="0" applyNumberFormat="1" applyFont="1" applyFill="1" applyBorder="1" applyAlignment="1">
      <alignment horizontal="center" vertical="center"/>
    </xf>
    <xf numFmtId="1" fontId="0" fillId="10" borderId="3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" fontId="0" fillId="7" borderId="24" xfId="0" applyNumberFormat="1" applyFont="1" applyFill="1" applyBorder="1" applyAlignment="1">
      <alignment horizontal="center" vertical="center"/>
    </xf>
    <xf numFmtId="1" fontId="0" fillId="10" borderId="37" xfId="0" applyNumberFormat="1" applyFont="1" applyFill="1" applyBorder="1" applyAlignment="1">
      <alignment horizontal="center" vertical="center"/>
    </xf>
    <xf numFmtId="1" fontId="0" fillId="10" borderId="24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" fontId="0" fillId="10" borderId="39" xfId="0" applyNumberFormat="1" applyFont="1" applyFill="1" applyBorder="1" applyAlignment="1">
      <alignment horizontal="center" vertical="center"/>
    </xf>
    <xf numFmtId="1" fontId="0" fillId="10" borderId="4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9" fillId="0" borderId="32" xfId="0" applyFont="1" applyBorder="1" applyAlignment="1">
      <alignment/>
    </xf>
    <xf numFmtId="49" fontId="0" fillId="0" borderId="32" xfId="0" applyNumberFormat="1" applyBorder="1" applyAlignment="1">
      <alignment/>
    </xf>
    <xf numFmtId="49" fontId="62" fillId="0" borderId="32" xfId="0" applyNumberFormat="1" applyFont="1" applyBorder="1" applyAlignment="1">
      <alignment/>
    </xf>
    <xf numFmtId="49" fontId="56" fillId="0" borderId="32" xfId="0" applyNumberFormat="1" applyFont="1" applyBorder="1" applyAlignment="1">
      <alignment/>
    </xf>
    <xf numFmtId="49" fontId="56" fillId="0" borderId="32" xfId="0" applyNumberFormat="1" applyFont="1" applyBorder="1" applyAlignment="1">
      <alignment horizontal="center"/>
    </xf>
    <xf numFmtId="166" fontId="18" fillId="3" borderId="12" xfId="52" applyNumberFormat="1" applyFont="1" applyFill="1" applyBorder="1" applyAlignment="1">
      <alignment horizontal="center" vertical="center" wrapText="1"/>
      <protection/>
    </xf>
    <xf numFmtId="166" fontId="18" fillId="3" borderId="41" xfId="52" applyNumberFormat="1" applyFont="1" applyFill="1" applyBorder="1" applyAlignment="1">
      <alignment horizontal="center" vertical="center" wrapText="1"/>
      <protection/>
    </xf>
    <xf numFmtId="166" fontId="18" fillId="3" borderId="42" xfId="52" applyNumberFormat="1" applyFont="1" applyFill="1" applyBorder="1" applyAlignment="1">
      <alignment horizontal="center" vertical="center" wrapText="1"/>
      <protection/>
    </xf>
    <xf numFmtId="0" fontId="18" fillId="3" borderId="36" xfId="52" applyFont="1" applyFill="1" applyBorder="1" applyAlignment="1">
      <alignment horizontal="center" vertical="center" wrapText="1"/>
      <protection/>
    </xf>
    <xf numFmtId="0" fontId="18" fillId="3" borderId="43" xfId="52" applyFont="1" applyFill="1" applyBorder="1" applyAlignment="1">
      <alignment horizontal="center" vertical="center" wrapText="1"/>
      <protection/>
    </xf>
    <xf numFmtId="0" fontId="18" fillId="3" borderId="20" xfId="52" applyFont="1" applyFill="1" applyBorder="1" applyAlignment="1">
      <alignment horizontal="center" vertical="center" wrapText="1"/>
      <protection/>
    </xf>
    <xf numFmtId="167" fontId="18" fillId="3" borderId="36" xfId="52" applyNumberFormat="1" applyFont="1" applyFill="1" applyBorder="1" applyAlignment="1">
      <alignment horizontal="center" vertical="center" wrapText="1"/>
      <protection/>
    </xf>
    <xf numFmtId="167" fontId="18" fillId="3" borderId="43" xfId="52" applyNumberFormat="1" applyFont="1" applyFill="1" applyBorder="1" applyAlignment="1">
      <alignment horizontal="center" vertical="center" wrapText="1"/>
      <protection/>
    </xf>
    <xf numFmtId="167" fontId="18" fillId="3" borderId="20" xfId="52" applyNumberFormat="1" applyFont="1" applyFill="1" applyBorder="1" applyAlignment="1">
      <alignment horizontal="center" vertical="center" wrapText="1"/>
      <protection/>
    </xf>
    <xf numFmtId="0" fontId="18" fillId="3" borderId="12" xfId="52" applyFont="1" applyFill="1" applyBorder="1" applyAlignment="1">
      <alignment horizontal="center" vertical="center" wrapText="1"/>
      <protection/>
    </xf>
    <xf numFmtId="0" fontId="18" fillId="3" borderId="41" xfId="52" applyFont="1" applyFill="1" applyBorder="1" applyAlignment="1">
      <alignment horizontal="center" vertical="center" wrapText="1"/>
      <protection/>
    </xf>
    <xf numFmtId="0" fontId="18" fillId="3" borderId="42" xfId="52" applyFont="1" applyFill="1" applyBorder="1" applyAlignment="1">
      <alignment horizontal="center" vertical="center" wrapText="1"/>
      <protection/>
    </xf>
    <xf numFmtId="0" fontId="18" fillId="0" borderId="44" xfId="52" applyFont="1" applyBorder="1" applyAlignment="1">
      <alignment horizontal="center" vertical="center" wrapText="1"/>
      <protection/>
    </xf>
    <xf numFmtId="0" fontId="18" fillId="0" borderId="32" xfId="52" applyFont="1" applyBorder="1" applyAlignment="1">
      <alignment horizontal="center" vertical="center" wrapText="1"/>
      <protection/>
    </xf>
    <xf numFmtId="0" fontId="18" fillId="0" borderId="36" xfId="52" applyFont="1" applyFill="1" applyBorder="1" applyAlignment="1">
      <alignment horizontal="center" vertical="center" wrapText="1"/>
      <protection/>
    </xf>
    <xf numFmtId="0" fontId="18" fillId="0" borderId="43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41" xfId="52" applyFont="1" applyFill="1" applyBorder="1" applyAlignment="1">
      <alignment horizontal="center" vertical="center" wrapText="1"/>
      <protection/>
    </xf>
    <xf numFmtId="0" fontId="18" fillId="0" borderId="42" xfId="52" applyFont="1" applyFill="1" applyBorder="1" applyAlignment="1">
      <alignment horizontal="center" vertical="center" wrapText="1"/>
      <protection/>
    </xf>
    <xf numFmtId="167" fontId="18" fillId="0" borderId="36" xfId="52" applyNumberFormat="1" applyFont="1" applyFill="1" applyBorder="1" applyAlignment="1">
      <alignment horizontal="center" vertical="center" wrapText="1"/>
      <protection/>
    </xf>
    <xf numFmtId="167" fontId="18" fillId="0" borderId="43" xfId="52" applyNumberFormat="1" applyFont="1" applyFill="1" applyBorder="1" applyAlignment="1">
      <alignment horizontal="center" vertical="center" wrapText="1"/>
      <protection/>
    </xf>
    <xf numFmtId="167" fontId="18" fillId="0" borderId="20" xfId="52" applyNumberFormat="1" applyFont="1" applyFill="1" applyBorder="1" applyAlignment="1">
      <alignment horizontal="center" vertical="center" wrapText="1"/>
      <protection/>
    </xf>
    <xf numFmtId="0" fontId="18" fillId="7" borderId="36" xfId="52" applyFont="1" applyFill="1" applyBorder="1" applyAlignment="1">
      <alignment horizontal="center" vertical="center" wrapText="1"/>
      <protection/>
    </xf>
    <xf numFmtId="0" fontId="18" fillId="7" borderId="43" xfId="52" applyFont="1" applyFill="1" applyBorder="1" applyAlignment="1">
      <alignment horizontal="center" vertical="center" wrapText="1"/>
      <protection/>
    </xf>
    <xf numFmtId="0" fontId="18" fillId="7" borderId="20" xfId="52" applyFont="1" applyFill="1" applyBorder="1" applyAlignment="1">
      <alignment horizontal="center" vertical="center" wrapText="1"/>
      <protection/>
    </xf>
    <xf numFmtId="167" fontId="18" fillId="7" borderId="36" xfId="52" applyNumberFormat="1" applyFont="1" applyFill="1" applyBorder="1" applyAlignment="1">
      <alignment horizontal="center" vertical="center" wrapText="1"/>
      <protection/>
    </xf>
    <xf numFmtId="167" fontId="18" fillId="7" borderId="43" xfId="52" applyNumberFormat="1" applyFont="1" applyFill="1" applyBorder="1" applyAlignment="1">
      <alignment horizontal="center" vertical="center" wrapText="1"/>
      <protection/>
    </xf>
    <xf numFmtId="167" fontId="18" fillId="7" borderId="20" xfId="52" applyNumberFormat="1" applyFont="1" applyFill="1" applyBorder="1" applyAlignment="1">
      <alignment horizontal="center" vertical="center" wrapText="1"/>
      <protection/>
    </xf>
    <xf numFmtId="166" fontId="18" fillId="0" borderId="12" xfId="52" applyNumberFormat="1" applyFont="1" applyFill="1" applyBorder="1" applyAlignment="1">
      <alignment horizontal="center" vertical="center" wrapText="1"/>
      <protection/>
    </xf>
    <xf numFmtId="166" fontId="18" fillId="0" borderId="41" xfId="52" applyNumberFormat="1" applyFont="1" applyFill="1" applyBorder="1" applyAlignment="1">
      <alignment horizontal="center" vertical="center" wrapText="1"/>
      <protection/>
    </xf>
    <xf numFmtId="166" fontId="18" fillId="0" borderId="42" xfId="52" applyNumberFormat="1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165" fontId="18" fillId="0" borderId="15" xfId="52" applyNumberFormat="1" applyFont="1" applyFill="1" applyBorder="1" applyAlignment="1">
      <alignment horizontal="center" vertical="center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18" fillId="34" borderId="41" xfId="52" applyFont="1" applyFill="1" applyBorder="1" applyAlignment="1">
      <alignment horizontal="center" vertical="center" wrapText="1"/>
      <protection/>
    </xf>
    <xf numFmtId="0" fontId="18" fillId="34" borderId="42" xfId="52" applyFont="1" applyFill="1" applyBorder="1" applyAlignment="1">
      <alignment horizontal="center" vertical="center" wrapText="1"/>
      <protection/>
    </xf>
    <xf numFmtId="165" fontId="18" fillId="34" borderId="12" xfId="61" applyNumberFormat="1" applyFont="1" applyFill="1" applyBorder="1" applyAlignment="1">
      <alignment horizontal="center" vertical="center" wrapText="1"/>
    </xf>
    <xf numFmtId="165" fontId="18" fillId="34" borderId="41" xfId="61" applyNumberFormat="1" applyFont="1" applyFill="1" applyBorder="1" applyAlignment="1">
      <alignment horizontal="center" vertical="center" wrapText="1"/>
    </xf>
    <xf numFmtId="165" fontId="18" fillId="34" borderId="42" xfId="61" applyNumberFormat="1" applyFont="1" applyFill="1" applyBorder="1" applyAlignment="1">
      <alignment horizontal="center" vertical="center" wrapText="1"/>
    </xf>
    <xf numFmtId="167" fontId="18" fillId="0" borderId="15" xfId="52" applyNumberFormat="1" applyFont="1" applyFill="1" applyBorder="1" applyAlignment="1">
      <alignment horizontal="center" vertical="center" wrapText="1"/>
      <protection/>
    </xf>
    <xf numFmtId="0" fontId="18" fillId="7" borderId="12" xfId="52" applyFont="1" applyFill="1" applyBorder="1" applyAlignment="1">
      <alignment horizontal="center" vertical="center" wrapText="1"/>
      <protection/>
    </xf>
    <xf numFmtId="0" fontId="18" fillId="7" borderId="41" xfId="52" applyFont="1" applyFill="1" applyBorder="1" applyAlignment="1">
      <alignment horizontal="center" vertical="center" wrapText="1"/>
      <protection/>
    </xf>
    <xf numFmtId="0" fontId="18" fillId="7" borderId="42" xfId="52" applyFont="1" applyFill="1" applyBorder="1" applyAlignment="1">
      <alignment horizontal="center" vertical="center" wrapText="1"/>
      <protection/>
    </xf>
    <xf numFmtId="0" fontId="18" fillId="9" borderId="36" xfId="52" applyFont="1" applyFill="1" applyBorder="1" applyAlignment="1">
      <alignment horizontal="center" vertical="center"/>
      <protection/>
    </xf>
    <xf numFmtId="0" fontId="18" fillId="9" borderId="43" xfId="52" applyFont="1" applyFill="1" applyBorder="1" applyAlignment="1">
      <alignment horizontal="center" vertical="center"/>
      <protection/>
    </xf>
    <xf numFmtId="0" fontId="18" fillId="9" borderId="20" xfId="52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 wrapText="1"/>
      <protection/>
    </xf>
    <xf numFmtId="165" fontId="18" fillId="0" borderId="41" xfId="52" applyNumberFormat="1" applyFont="1" applyFill="1" applyBorder="1" applyAlignment="1">
      <alignment horizontal="center" vertical="center" wrapText="1"/>
      <protection/>
    </xf>
    <xf numFmtId="165" fontId="18" fillId="0" borderId="42" xfId="52" applyNumberFormat="1" applyFont="1" applyFill="1" applyBorder="1" applyAlignment="1">
      <alignment horizontal="center" vertical="center" wrapText="1"/>
      <protection/>
    </xf>
    <xf numFmtId="166" fontId="18" fillId="7" borderId="12" xfId="52" applyNumberFormat="1" applyFont="1" applyFill="1" applyBorder="1" applyAlignment="1">
      <alignment horizontal="center" vertical="center" wrapText="1"/>
      <protection/>
    </xf>
    <xf numFmtId="166" fontId="18" fillId="7" borderId="41" xfId="52" applyNumberFormat="1" applyFont="1" applyFill="1" applyBorder="1" applyAlignment="1">
      <alignment horizontal="center" vertical="center" wrapText="1"/>
      <protection/>
    </xf>
    <xf numFmtId="166" fontId="18" fillId="7" borderId="42" xfId="52" applyNumberFormat="1" applyFont="1" applyFill="1" applyBorder="1" applyAlignment="1">
      <alignment horizontal="center" vertical="center" wrapText="1"/>
      <protection/>
    </xf>
    <xf numFmtId="0" fontId="18" fillId="7" borderId="15" xfId="52" applyFont="1" applyFill="1" applyBorder="1" applyAlignment="1">
      <alignment horizontal="center" vertical="center" wrapText="1"/>
      <protection/>
    </xf>
    <xf numFmtId="0" fontId="18" fillId="9" borderId="15" xfId="52" applyFont="1" applyFill="1" applyBorder="1" applyAlignment="1">
      <alignment horizontal="center" vertical="center"/>
      <protection/>
    </xf>
    <xf numFmtId="43" fontId="18" fillId="34" borderId="15" xfId="61" applyNumberFormat="1" applyFont="1" applyFill="1" applyBorder="1" applyAlignment="1">
      <alignment horizontal="center" vertical="center" wrapText="1"/>
    </xf>
    <xf numFmtId="165" fontId="18" fillId="34" borderId="15" xfId="61" applyNumberFormat="1" applyFont="1" applyFill="1" applyBorder="1" applyAlignment="1">
      <alignment horizontal="center" vertical="center" wrapText="1"/>
    </xf>
    <xf numFmtId="166" fontId="18" fillId="7" borderId="15" xfId="52" applyNumberFormat="1" applyFont="1" applyFill="1" applyBorder="1" applyAlignment="1">
      <alignment horizontal="center" vertical="center" wrapText="1"/>
      <protection/>
    </xf>
    <xf numFmtId="167" fontId="18" fillId="7" borderId="15" xfId="52" applyNumberFormat="1" applyFont="1" applyFill="1" applyBorder="1" applyAlignment="1">
      <alignment horizontal="center" vertical="center" wrapText="1"/>
      <protection/>
    </xf>
    <xf numFmtId="166" fontId="18" fillId="0" borderId="15" xfId="52" applyNumberFormat="1" applyFont="1" applyFill="1" applyBorder="1" applyAlignment="1">
      <alignment horizontal="center" vertical="center" wrapText="1"/>
      <protection/>
    </xf>
    <xf numFmtId="0" fontId="18" fillId="9" borderId="15" xfId="52" applyFont="1" applyFill="1" applyBorder="1" applyAlignment="1">
      <alignment horizontal="center" vertical="center" wrapText="1"/>
      <protection/>
    </xf>
    <xf numFmtId="43" fontId="18" fillId="0" borderId="15" xfId="61" applyNumberFormat="1" applyFont="1" applyFill="1" applyBorder="1" applyAlignment="1">
      <alignment horizontal="center" vertical="center" wrapText="1"/>
    </xf>
    <xf numFmtId="165" fontId="18" fillId="35" borderId="15" xfId="61" applyNumberFormat="1" applyFont="1" applyFill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/>
      <protection/>
    </xf>
    <xf numFmtId="164" fontId="18" fillId="9" borderId="15" xfId="52" applyNumberFormat="1" applyFont="1" applyFill="1" applyBorder="1" applyAlignment="1">
      <alignment horizontal="center" vertical="center"/>
      <protection/>
    </xf>
    <xf numFmtId="0" fontId="18" fillId="16" borderId="0" xfId="52" applyFont="1" applyFill="1" applyAlignment="1">
      <alignment horizontal="center" vertical="center"/>
      <protection/>
    </xf>
    <xf numFmtId="0" fontId="61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left"/>
    </xf>
    <xf numFmtId="49" fontId="0" fillId="33" borderId="36" xfId="0" applyNumberForma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33" borderId="36" xfId="0" applyNumberFormat="1" applyFont="1" applyFill="1" applyBorder="1" applyAlignment="1">
      <alignment horizontal="left"/>
    </xf>
    <xf numFmtId="49" fontId="0" fillId="33" borderId="43" xfId="0" applyNumberFormat="1" applyFont="1" applyFill="1" applyBorder="1" applyAlignment="1">
      <alignment horizontal="left"/>
    </xf>
    <xf numFmtId="49" fontId="0" fillId="33" borderId="0" xfId="0" applyNumberFormat="1" applyFill="1" applyAlignment="1">
      <alignment horizontal="center"/>
    </xf>
    <xf numFmtId="2" fontId="63" fillId="33" borderId="0" xfId="0" applyNumberFormat="1" applyFont="1" applyFill="1" applyAlignment="1">
      <alignment horizontal="center" vertical="justify" wrapText="1"/>
    </xf>
    <xf numFmtId="2" fontId="0" fillId="33" borderId="0" xfId="0" applyNumberFormat="1" applyFill="1" applyAlignment="1">
      <alignment horizontal="center" vertical="justify"/>
    </xf>
    <xf numFmtId="49" fontId="0" fillId="0" borderId="0" xfId="0" applyNumberFormat="1" applyAlignment="1">
      <alignment horizontal="left"/>
    </xf>
    <xf numFmtId="49" fontId="55" fillId="33" borderId="0" xfId="0" applyNumberFormat="1" applyFont="1" applyFill="1" applyAlignment="1">
      <alignment horizontal="center" wrapText="1"/>
    </xf>
    <xf numFmtId="49" fontId="57" fillId="33" borderId="0" xfId="0" applyNumberFormat="1" applyFont="1" applyFill="1" applyAlignment="1">
      <alignment horizontal="center"/>
    </xf>
    <xf numFmtId="0" fontId="56" fillId="0" borderId="46" xfId="0" applyNumberFormat="1" applyFont="1" applyBorder="1" applyAlignment="1">
      <alignment horizontal="center"/>
    </xf>
    <xf numFmtId="0" fontId="56" fillId="0" borderId="45" xfId="0" applyNumberFormat="1" applyFont="1" applyBorder="1" applyAlignment="1">
      <alignment horizontal="center"/>
    </xf>
    <xf numFmtId="0" fontId="56" fillId="0" borderId="31" xfId="0" applyNumberFormat="1" applyFont="1" applyBorder="1" applyAlignment="1">
      <alignment horizontal="center"/>
    </xf>
    <xf numFmtId="49" fontId="55" fillId="33" borderId="47" xfId="0" applyNumberFormat="1" applyFont="1" applyFill="1" applyBorder="1" applyAlignment="1">
      <alignment horizontal="center"/>
    </xf>
    <xf numFmtId="49" fontId="0" fillId="33" borderId="47" xfId="0" applyNumberFormat="1" applyFill="1" applyBorder="1" applyAlignment="1">
      <alignment horizontal="center"/>
    </xf>
    <xf numFmtId="49" fontId="54" fillId="33" borderId="36" xfId="0" applyNumberFormat="1" applyFont="1" applyFill="1" applyBorder="1" applyAlignment="1">
      <alignment horizontal="left"/>
    </xf>
    <xf numFmtId="49" fontId="54" fillId="33" borderId="43" xfId="0" applyNumberFormat="1" applyFont="1" applyFill="1" applyBorder="1" applyAlignment="1">
      <alignment horizontal="left"/>
    </xf>
    <xf numFmtId="49" fontId="54" fillId="33" borderId="15" xfId="0" applyNumberFormat="1" applyFont="1" applyFill="1" applyBorder="1" applyAlignment="1">
      <alignment horizontal="left" wrapText="1"/>
    </xf>
    <xf numFmtId="49" fontId="54" fillId="33" borderId="15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justify" vertical="justify" wrapText="1"/>
    </xf>
    <xf numFmtId="49" fontId="0" fillId="33" borderId="0" xfId="0" applyNumberFormat="1" applyFill="1" applyBorder="1" applyAlignment="1">
      <alignment horizontal="justify" vertical="justify"/>
    </xf>
    <xf numFmtId="49" fontId="0" fillId="33" borderId="36" xfId="0" applyNumberFormat="1" applyFill="1" applyBorder="1" applyAlignment="1">
      <alignment horizontal="center"/>
    </xf>
    <xf numFmtId="49" fontId="0" fillId="33" borderId="43" xfId="0" applyNumberFormat="1" applyFill="1" applyBorder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48" xfId="0" applyNumberFormat="1" applyFont="1" applyFill="1" applyBorder="1" applyAlignment="1">
      <alignment horizontal="justify" vertical="justify" wrapText="1"/>
    </xf>
    <xf numFmtId="49" fontId="54" fillId="33" borderId="14" xfId="0" applyNumberFormat="1" applyFont="1" applyFill="1" applyBorder="1" applyAlignment="1">
      <alignment horizontal="justify" vertical="justify" wrapText="1"/>
    </xf>
    <xf numFmtId="49" fontId="0" fillId="0" borderId="49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54" fillId="33" borderId="44" xfId="0" applyNumberFormat="1" applyFont="1" applyFill="1" applyBorder="1" applyAlignment="1">
      <alignment horizontal="center" vertical="justify" wrapText="1"/>
    </xf>
    <xf numFmtId="49" fontId="54" fillId="33" borderId="32" xfId="0" applyNumberFormat="1" applyFont="1" applyFill="1" applyBorder="1" applyAlignment="1">
      <alignment horizontal="center" vertical="justify" wrapText="1"/>
    </xf>
    <xf numFmtId="49" fontId="54" fillId="0" borderId="32" xfId="0" applyNumberFormat="1" applyFont="1" applyFill="1" applyBorder="1" applyAlignment="1">
      <alignment horizontal="center" vertical="justify" wrapText="1"/>
    </xf>
    <xf numFmtId="49" fontId="0" fillId="33" borderId="37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12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6" fillId="36" borderId="19" xfId="0" applyNumberFormat="1" applyFont="1" applyFill="1" applyBorder="1" applyAlignment="1">
      <alignment horizontal="center" vertical="center"/>
    </xf>
    <xf numFmtId="49" fontId="56" fillId="36" borderId="16" xfId="0" applyNumberFormat="1" applyFont="1" applyFill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50" xfId="0" applyNumberFormat="1" applyFont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justify" vertical="center" wrapText="1"/>
    </xf>
    <xf numFmtId="49" fontId="54" fillId="33" borderId="15" xfId="0" applyNumberFormat="1" applyFont="1" applyFill="1" applyBorder="1" applyAlignment="1">
      <alignment horizontal="justify" vertical="center"/>
    </xf>
    <xf numFmtId="49" fontId="54" fillId="33" borderId="36" xfId="0" applyNumberFormat="1" applyFont="1" applyFill="1" applyBorder="1" applyAlignment="1">
      <alignment horizontal="justify" vertical="center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36" xfId="0" applyNumberFormat="1" applyFont="1" applyFill="1" applyBorder="1" applyAlignment="1">
      <alignment horizontal="left" vertical="center" wrapText="1"/>
    </xf>
    <xf numFmtId="49" fontId="54" fillId="33" borderId="43" xfId="0" applyNumberFormat="1" applyFont="1" applyFill="1" applyBorder="1" applyAlignment="1">
      <alignment horizontal="left" vertical="center"/>
    </xf>
    <xf numFmtId="49" fontId="54" fillId="33" borderId="37" xfId="0" applyNumberFormat="1" applyFont="1" applyFill="1" applyBorder="1" applyAlignment="1">
      <alignment horizontal="left" vertical="center"/>
    </xf>
    <xf numFmtId="2" fontId="0" fillId="33" borderId="15" xfId="0" applyNumberFormat="1" applyFill="1" applyBorder="1" applyAlignment="1">
      <alignment horizontal="justify" vertical="center" wrapText="1"/>
    </xf>
    <xf numFmtId="2" fontId="0" fillId="33" borderId="15" xfId="0" applyNumberFormat="1" applyFill="1" applyBorder="1" applyAlignment="1">
      <alignment horizontal="justify" vertical="center"/>
    </xf>
    <xf numFmtId="2" fontId="0" fillId="33" borderId="36" xfId="0" applyNumberFormat="1" applyFill="1" applyBorder="1" applyAlignment="1">
      <alignment horizontal="justify" vertical="center"/>
    </xf>
    <xf numFmtId="2" fontId="57" fillId="33" borderId="47" xfId="0" applyNumberFormat="1" applyFont="1" applyFill="1" applyBorder="1" applyAlignment="1">
      <alignment horizontal="justify" wrapText="1"/>
    </xf>
    <xf numFmtId="2" fontId="0" fillId="33" borderId="47" xfId="0" applyNumberFormat="1" applyFill="1" applyBorder="1" applyAlignment="1">
      <alignment horizontal="justify" wrapText="1"/>
    </xf>
    <xf numFmtId="49" fontId="0" fillId="33" borderId="12" xfId="0" applyNumberFormat="1" applyFill="1" applyBorder="1" applyAlignment="1">
      <alignment horizontal="center"/>
    </xf>
    <xf numFmtId="0" fontId="56" fillId="0" borderId="17" xfId="0" applyNumberFormat="1" applyFont="1" applyBorder="1" applyAlignment="1">
      <alignment horizontal="center"/>
    </xf>
    <xf numFmtId="49" fontId="57" fillId="33" borderId="0" xfId="0" applyNumberFormat="1" applyFont="1" applyFill="1" applyAlignment="1">
      <alignment horizontal="left"/>
    </xf>
    <xf numFmtId="49" fontId="0" fillId="33" borderId="12" xfId="0" applyNumberFormat="1" applyFill="1" applyBorder="1" applyAlignment="1">
      <alignment horizontal="justify" vertical="center" wrapText="1"/>
    </xf>
    <xf numFmtId="49" fontId="0" fillId="33" borderId="12" xfId="0" applyNumberFormat="1" applyFill="1" applyBorder="1" applyAlignment="1">
      <alignment horizontal="justify" vertical="center"/>
    </xf>
    <xf numFmtId="49" fontId="0" fillId="33" borderId="48" xfId="0" applyNumberFormat="1" applyFill="1" applyBorder="1" applyAlignment="1">
      <alignment horizontal="justify" vertical="center"/>
    </xf>
    <xf numFmtId="49" fontId="56" fillId="0" borderId="46" xfId="0" applyNumberFormat="1" applyFont="1" applyBorder="1" applyAlignment="1">
      <alignment horizontal="left" vertical="center" wrapText="1"/>
    </xf>
    <xf numFmtId="49" fontId="56" fillId="0" borderId="45" xfId="0" applyNumberFormat="1" applyFont="1" applyBorder="1" applyAlignment="1">
      <alignment horizontal="left" vertical="center" wrapText="1"/>
    </xf>
    <xf numFmtId="49" fontId="56" fillId="0" borderId="3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8"/>
  <sheetViews>
    <sheetView zoomScaleSheetLayoutView="100" zoomScalePageLayoutView="0" workbookViewId="0" topLeftCell="A1">
      <selection activeCell="O459" sqref="O459"/>
    </sheetView>
  </sheetViews>
  <sheetFormatPr defaultColWidth="9.140625" defaultRowHeight="15"/>
  <cols>
    <col min="1" max="1" width="4.7109375" style="39" customWidth="1"/>
    <col min="2" max="2" width="17.140625" style="37" customWidth="1"/>
    <col min="3" max="3" width="14.00390625" style="37" hidden="1" customWidth="1"/>
    <col min="4" max="5" width="13.8515625" style="37" hidden="1" customWidth="1"/>
    <col min="6" max="7" width="18.140625" style="37" hidden="1" customWidth="1"/>
    <col min="8" max="8" width="17.421875" style="37" hidden="1" customWidth="1"/>
    <col min="9" max="9" width="17.57421875" style="37" hidden="1" customWidth="1"/>
    <col min="10" max="10" width="16.8515625" style="37" hidden="1" customWidth="1"/>
    <col min="11" max="11" width="16.7109375" style="37" hidden="1" customWidth="1"/>
    <col min="12" max="12" width="17.28125" style="37" hidden="1" customWidth="1"/>
    <col min="13" max="13" width="14.8515625" style="37" hidden="1" customWidth="1"/>
    <col min="14" max="14" width="12.7109375" style="37" hidden="1" customWidth="1"/>
    <col min="15" max="15" width="41.00390625" style="37" customWidth="1"/>
    <col min="16" max="16" width="11.00390625" style="40" hidden="1" customWidth="1"/>
    <col min="17" max="17" width="15.28125" style="37" hidden="1" customWidth="1"/>
    <col min="18" max="18" width="15.00390625" style="37" hidden="1" customWidth="1"/>
    <col min="19" max="19" width="13.140625" style="37" hidden="1" customWidth="1"/>
    <col min="20" max="20" width="26.421875" style="37" hidden="1" customWidth="1"/>
    <col min="21" max="21" width="3.28125" style="37" customWidth="1"/>
    <col min="22" max="23" width="19.140625" style="37" customWidth="1"/>
    <col min="24" max="24" width="28.57421875" style="37" customWidth="1"/>
    <col min="25" max="16384" width="9.140625" style="37" customWidth="1"/>
  </cols>
  <sheetData>
    <row r="1" spans="1:24" ht="13.5" customHeight="1" thickBot="1">
      <c r="A1" s="43"/>
      <c r="B1" s="118" t="s">
        <v>74</v>
      </c>
      <c r="C1" s="199" t="s">
        <v>75</v>
      </c>
      <c r="D1" s="199"/>
      <c r="E1" s="199"/>
      <c r="F1" s="199"/>
      <c r="G1" s="199"/>
      <c r="H1" s="199"/>
      <c r="I1" s="199" t="s">
        <v>170</v>
      </c>
      <c r="J1" s="199"/>
      <c r="K1" s="199"/>
      <c r="L1" s="199" t="s">
        <v>76</v>
      </c>
      <c r="M1" s="199"/>
      <c r="N1" s="199"/>
      <c r="O1" s="199"/>
      <c r="P1" s="199"/>
      <c r="Q1" s="199"/>
      <c r="R1" s="71"/>
      <c r="S1" s="71"/>
      <c r="T1" s="71"/>
      <c r="U1" s="71"/>
      <c r="V1" s="41" t="s">
        <v>65</v>
      </c>
      <c r="W1" s="72" t="s">
        <v>66</v>
      </c>
      <c r="X1" s="73" t="s">
        <v>67</v>
      </c>
    </row>
    <row r="2" spans="1:24" ht="15" customHeight="1">
      <c r="A2" s="42">
        <v>1</v>
      </c>
      <c r="B2" s="231" t="s">
        <v>77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 t="s">
        <v>78</v>
      </c>
      <c r="S2" s="232"/>
      <c r="T2" s="71" t="s">
        <v>79</v>
      </c>
      <c r="U2" s="71"/>
      <c r="V2" s="71"/>
      <c r="W2" s="71"/>
      <c r="X2" s="71"/>
    </row>
    <row r="3" spans="1:24" ht="15" customHeight="1" hidden="1">
      <c r="A3" s="43"/>
      <c r="B3" s="199" t="s">
        <v>80</v>
      </c>
      <c r="C3" s="199" t="s">
        <v>81</v>
      </c>
      <c r="D3" s="199"/>
      <c r="E3" s="199"/>
      <c r="F3" s="199"/>
      <c r="G3" s="199"/>
      <c r="H3" s="199"/>
      <c r="I3" s="118" t="s">
        <v>82</v>
      </c>
      <c r="J3" s="118" t="s">
        <v>83</v>
      </c>
      <c r="K3" s="118" t="s">
        <v>84</v>
      </c>
      <c r="L3" s="199" t="s">
        <v>85</v>
      </c>
      <c r="M3" s="199" t="s">
        <v>86</v>
      </c>
      <c r="N3" s="199" t="s">
        <v>87</v>
      </c>
      <c r="O3" s="199" t="s">
        <v>88</v>
      </c>
      <c r="P3" s="200" t="s">
        <v>89</v>
      </c>
      <c r="Q3" s="199" t="s">
        <v>90</v>
      </c>
      <c r="R3" s="127" t="s">
        <v>91</v>
      </c>
      <c r="S3" s="127" t="s">
        <v>92</v>
      </c>
      <c r="T3" s="74">
        <v>446496</v>
      </c>
      <c r="U3" s="71"/>
      <c r="V3" s="71"/>
      <c r="W3" s="71"/>
      <c r="X3" s="71"/>
    </row>
    <row r="4" spans="1:24" ht="15" customHeight="1" hidden="1">
      <c r="A4" s="43"/>
      <c r="B4" s="199"/>
      <c r="C4" s="199">
        <v>2022.64</v>
      </c>
      <c r="D4" s="199"/>
      <c r="E4" s="199"/>
      <c r="F4" s="199"/>
      <c r="G4" s="199"/>
      <c r="H4" s="199"/>
      <c r="I4" s="126">
        <v>25.35</v>
      </c>
      <c r="J4" s="126">
        <f>I4*1.18</f>
        <v>29.913</v>
      </c>
      <c r="K4" s="226">
        <f>29.913+19.14</f>
        <v>49.053</v>
      </c>
      <c r="L4" s="199"/>
      <c r="M4" s="199"/>
      <c r="N4" s="199"/>
      <c r="O4" s="199"/>
      <c r="P4" s="200"/>
      <c r="Q4" s="199"/>
      <c r="R4" s="71"/>
      <c r="S4" s="71"/>
      <c r="T4" s="71"/>
      <c r="U4" s="71"/>
      <c r="V4" s="71"/>
      <c r="W4" s="71"/>
      <c r="X4" s="71"/>
    </row>
    <row r="5" spans="1:24" ht="15" customHeight="1" hidden="1">
      <c r="A5" s="43"/>
      <c r="B5" s="199"/>
      <c r="C5" s="199" t="s">
        <v>93</v>
      </c>
      <c r="D5" s="199"/>
      <c r="E5" s="199"/>
      <c r="F5" s="199"/>
      <c r="G5" s="199"/>
      <c r="H5" s="199"/>
      <c r="I5" s="118" t="s">
        <v>94</v>
      </c>
      <c r="J5" s="118" t="s">
        <v>83</v>
      </c>
      <c r="K5" s="226"/>
      <c r="L5" s="199"/>
      <c r="M5" s="199"/>
      <c r="N5" s="199"/>
      <c r="O5" s="199"/>
      <c r="P5" s="200"/>
      <c r="Q5" s="199"/>
      <c r="R5" s="71"/>
      <c r="S5" s="71"/>
      <c r="T5" s="71"/>
      <c r="U5" s="71"/>
      <c r="V5" s="71"/>
      <c r="W5" s="71"/>
      <c r="X5" s="71"/>
    </row>
    <row r="6" spans="1:24" ht="15" customHeight="1" hidden="1">
      <c r="A6" s="43"/>
      <c r="B6" s="199"/>
      <c r="C6" s="207">
        <f>C4*1.18</f>
        <v>2386.7152</v>
      </c>
      <c r="D6" s="207"/>
      <c r="E6" s="207"/>
      <c r="F6" s="207"/>
      <c r="G6" s="207"/>
      <c r="H6" s="207"/>
      <c r="I6" s="126">
        <v>16.22</v>
      </c>
      <c r="J6" s="126">
        <f>I6*1.18</f>
        <v>19.139599999999998</v>
      </c>
      <c r="K6" s="226"/>
      <c r="L6" s="199"/>
      <c r="M6" s="199"/>
      <c r="N6" s="199"/>
      <c r="O6" s="199"/>
      <c r="P6" s="200"/>
      <c r="Q6" s="199"/>
      <c r="R6" s="71"/>
      <c r="S6" s="71"/>
      <c r="T6" s="71" t="s">
        <v>95</v>
      </c>
      <c r="U6" s="71"/>
      <c r="V6" s="71"/>
      <c r="W6" s="71"/>
      <c r="X6" s="71"/>
    </row>
    <row r="7" spans="1:24" ht="45" customHeight="1" hidden="1">
      <c r="A7" s="43"/>
      <c r="B7" s="118" t="s">
        <v>96</v>
      </c>
      <c r="C7" s="118" t="s">
        <v>97</v>
      </c>
      <c r="D7" s="118" t="s">
        <v>98</v>
      </c>
      <c r="E7" s="118" t="s">
        <v>99</v>
      </c>
      <c r="F7" s="118" t="s">
        <v>100</v>
      </c>
      <c r="G7" s="118" t="s">
        <v>101</v>
      </c>
      <c r="H7" s="118" t="s">
        <v>90</v>
      </c>
      <c r="I7" s="118" t="s">
        <v>171</v>
      </c>
      <c r="J7" s="118" t="s">
        <v>102</v>
      </c>
      <c r="K7" s="118" t="s">
        <v>90</v>
      </c>
      <c r="L7" s="199"/>
      <c r="M7" s="199"/>
      <c r="N7" s="199"/>
      <c r="O7" s="199"/>
      <c r="P7" s="200"/>
      <c r="Q7" s="199"/>
      <c r="R7" s="71"/>
      <c r="S7" s="71"/>
      <c r="T7" s="71"/>
      <c r="U7" s="71"/>
      <c r="V7" s="71"/>
      <c r="W7" s="71"/>
      <c r="X7" s="71"/>
    </row>
    <row r="8" spans="1:24" ht="15" customHeight="1" hidden="1">
      <c r="A8" s="43"/>
      <c r="B8" s="44" t="s">
        <v>103</v>
      </c>
      <c r="C8" s="75">
        <v>34.912</v>
      </c>
      <c r="D8" s="118"/>
      <c r="E8" s="126"/>
      <c r="F8" s="75"/>
      <c r="G8" s="75">
        <f>D8+C8</f>
        <v>34.912</v>
      </c>
      <c r="H8" s="58">
        <v>83325</v>
      </c>
      <c r="I8" s="120"/>
      <c r="J8" s="120">
        <v>21.16</v>
      </c>
      <c r="K8" s="120">
        <v>1038.02</v>
      </c>
      <c r="L8" s="120"/>
      <c r="M8" s="120"/>
      <c r="N8" s="120"/>
      <c r="O8" s="120">
        <v>4116</v>
      </c>
      <c r="P8" s="125">
        <v>3.77026</v>
      </c>
      <c r="Q8" s="120">
        <f aca="true" t="shared" si="0" ref="Q8:Q13">P8*O8</f>
        <v>15518.390159999999</v>
      </c>
      <c r="R8" s="71"/>
      <c r="S8" s="71"/>
      <c r="T8" s="71"/>
      <c r="U8" s="71"/>
      <c r="V8" s="71"/>
      <c r="W8" s="71"/>
      <c r="X8" s="71"/>
    </row>
    <row r="9" spans="1:24" ht="15" customHeight="1" hidden="1">
      <c r="A9" s="43"/>
      <c r="B9" s="44" t="s">
        <v>104</v>
      </c>
      <c r="C9" s="54">
        <v>34.977</v>
      </c>
      <c r="D9" s="44"/>
      <c r="E9" s="44"/>
      <c r="F9" s="44"/>
      <c r="G9" s="62">
        <f>D9+C9</f>
        <v>34.977</v>
      </c>
      <c r="H9" s="44">
        <v>83480.14</v>
      </c>
      <c r="I9" s="120"/>
      <c r="J9" s="120">
        <v>21.2</v>
      </c>
      <c r="K9" s="120">
        <v>1039.99</v>
      </c>
      <c r="L9" s="76"/>
      <c r="M9" s="124"/>
      <c r="N9" s="124"/>
      <c r="O9" s="120">
        <v>3180</v>
      </c>
      <c r="P9" s="125">
        <v>3.94348</v>
      </c>
      <c r="Q9" s="120">
        <f t="shared" si="0"/>
        <v>12540.2664</v>
      </c>
      <c r="R9" s="71"/>
      <c r="S9" s="71"/>
      <c r="T9" s="71"/>
      <c r="U9" s="71"/>
      <c r="V9" s="71"/>
      <c r="W9" s="71"/>
      <c r="X9" s="71"/>
    </row>
    <row r="10" spans="1:24" ht="15" customHeight="1" hidden="1">
      <c r="A10" s="43"/>
      <c r="B10" s="44" t="s">
        <v>105</v>
      </c>
      <c r="C10" s="54">
        <v>37.974</v>
      </c>
      <c r="D10" s="44"/>
      <c r="E10" s="44"/>
      <c r="F10" s="44"/>
      <c r="G10" s="62">
        <f>D10+C10</f>
        <v>37.974</v>
      </c>
      <c r="H10" s="44">
        <v>90633.12</v>
      </c>
      <c r="I10" s="120"/>
      <c r="J10" s="120">
        <v>25.43</v>
      </c>
      <c r="K10" s="120">
        <v>1247.1</v>
      </c>
      <c r="L10" s="76"/>
      <c r="M10" s="124"/>
      <c r="N10" s="124"/>
      <c r="O10" s="120">
        <v>3096</v>
      </c>
      <c r="P10" s="125">
        <v>3.92864</v>
      </c>
      <c r="Q10" s="120">
        <f t="shared" si="0"/>
        <v>12163.069440000001</v>
      </c>
      <c r="R10" s="71"/>
      <c r="S10" s="71"/>
      <c r="T10" s="71"/>
      <c r="U10" s="71"/>
      <c r="V10" s="71"/>
      <c r="W10" s="71"/>
      <c r="X10" s="71"/>
    </row>
    <row r="11" spans="1:24" ht="15" customHeight="1" hidden="1">
      <c r="A11" s="43"/>
      <c r="B11" s="44" t="s">
        <v>106</v>
      </c>
      <c r="C11" s="54">
        <v>20.61</v>
      </c>
      <c r="D11" s="44"/>
      <c r="E11" s="44"/>
      <c r="F11" s="44"/>
      <c r="G11" s="62">
        <f>D11+C11</f>
        <v>20.61</v>
      </c>
      <c r="H11" s="44">
        <v>49190.28</v>
      </c>
      <c r="I11" s="120"/>
      <c r="J11" s="120">
        <v>30.66</v>
      </c>
      <c r="K11" s="120">
        <v>1503.96</v>
      </c>
      <c r="L11" s="76"/>
      <c r="M11" s="124"/>
      <c r="N11" s="124"/>
      <c r="O11" s="120">
        <v>3012</v>
      </c>
      <c r="P11" s="125">
        <v>3.84733</v>
      </c>
      <c r="Q11" s="120">
        <f t="shared" si="0"/>
        <v>11588.15796</v>
      </c>
      <c r="R11" s="71"/>
      <c r="S11" s="71"/>
      <c r="T11" s="71"/>
      <c r="U11" s="71"/>
      <c r="V11" s="71"/>
      <c r="W11" s="71"/>
      <c r="X11" s="71"/>
    </row>
    <row r="12" spans="1:24" ht="15" customHeight="1" hidden="1">
      <c r="A12" s="43"/>
      <c r="B12" s="44" t="s">
        <v>107</v>
      </c>
      <c r="C12" s="77"/>
      <c r="D12" s="118"/>
      <c r="E12" s="118"/>
      <c r="F12" s="118"/>
      <c r="G12" s="118"/>
      <c r="H12" s="118"/>
      <c r="I12" s="120"/>
      <c r="J12" s="120">
        <v>41.92</v>
      </c>
      <c r="K12" s="120">
        <v>2056.03</v>
      </c>
      <c r="L12" s="76"/>
      <c r="M12" s="124"/>
      <c r="N12" s="124"/>
      <c r="O12" s="120">
        <v>2358</v>
      </c>
      <c r="P12" s="125">
        <v>3.93847</v>
      </c>
      <c r="Q12" s="120">
        <f t="shared" si="0"/>
        <v>9286.912260000001</v>
      </c>
      <c r="R12" s="71"/>
      <c r="S12" s="71"/>
      <c r="T12" s="71"/>
      <c r="U12" s="71"/>
      <c r="V12" s="71"/>
      <c r="W12" s="71"/>
      <c r="X12" s="71"/>
    </row>
    <row r="13" spans="1:24" ht="15" customHeight="1" hidden="1">
      <c r="A13" s="43"/>
      <c r="B13" s="44" t="s">
        <v>108</v>
      </c>
      <c r="C13" s="77"/>
      <c r="D13" s="118"/>
      <c r="E13" s="118"/>
      <c r="F13" s="118"/>
      <c r="G13" s="118"/>
      <c r="H13" s="118"/>
      <c r="I13" s="120"/>
      <c r="J13" s="120">
        <v>35.15</v>
      </c>
      <c r="K13" s="120">
        <v>1723.98</v>
      </c>
      <c r="L13" s="76"/>
      <c r="M13" s="124"/>
      <c r="N13" s="124"/>
      <c r="O13" s="120">
        <v>1932</v>
      </c>
      <c r="P13" s="125">
        <v>3.97841</v>
      </c>
      <c r="Q13" s="120">
        <f t="shared" si="0"/>
        <v>7686.288119999999</v>
      </c>
      <c r="R13" s="71"/>
      <c r="S13" s="71"/>
      <c r="T13" s="71"/>
      <c r="U13" s="71"/>
      <c r="V13" s="71"/>
      <c r="W13" s="71"/>
      <c r="X13" s="71"/>
    </row>
    <row r="14" spans="1:24" ht="15" customHeight="1" hidden="1">
      <c r="A14" s="43"/>
      <c r="B14" s="220" t="s">
        <v>109</v>
      </c>
      <c r="C14" s="220" t="s">
        <v>81</v>
      </c>
      <c r="D14" s="220"/>
      <c r="E14" s="220"/>
      <c r="F14" s="220"/>
      <c r="G14" s="220"/>
      <c r="H14" s="220"/>
      <c r="I14" s="118" t="s">
        <v>82</v>
      </c>
      <c r="J14" s="118" t="s">
        <v>83</v>
      </c>
      <c r="K14" s="118" t="s">
        <v>84</v>
      </c>
      <c r="L14" s="199"/>
      <c r="M14" s="199"/>
      <c r="N14" s="228"/>
      <c r="O14" s="228"/>
      <c r="P14" s="229"/>
      <c r="Q14" s="199"/>
      <c r="R14" s="71"/>
      <c r="S14" s="71"/>
      <c r="T14" s="71"/>
      <c r="U14" s="71"/>
      <c r="V14" s="71"/>
      <c r="W14" s="71"/>
      <c r="X14" s="71"/>
    </row>
    <row r="15" spans="1:24" ht="15" customHeight="1" hidden="1">
      <c r="A15" s="43"/>
      <c r="B15" s="220"/>
      <c r="C15" s="220">
        <v>2103.15</v>
      </c>
      <c r="D15" s="220"/>
      <c r="E15" s="220"/>
      <c r="F15" s="220"/>
      <c r="G15" s="220"/>
      <c r="H15" s="220"/>
      <c r="I15" s="126">
        <v>26.61</v>
      </c>
      <c r="J15" s="126">
        <f>I15*1.18</f>
        <v>31.3998</v>
      </c>
      <c r="K15" s="226">
        <f>J17+J15</f>
        <v>51.61319999999999</v>
      </c>
      <c r="L15" s="199"/>
      <c r="M15" s="199"/>
      <c r="N15" s="228"/>
      <c r="O15" s="228"/>
      <c r="P15" s="229"/>
      <c r="Q15" s="199"/>
      <c r="R15" s="71"/>
      <c r="S15" s="71"/>
      <c r="T15" s="71"/>
      <c r="U15" s="71"/>
      <c r="V15" s="71"/>
      <c r="W15" s="71"/>
      <c r="X15" s="71"/>
    </row>
    <row r="16" spans="1:24" ht="15" customHeight="1" hidden="1">
      <c r="A16" s="43"/>
      <c r="B16" s="220"/>
      <c r="C16" s="220" t="s">
        <v>93</v>
      </c>
      <c r="D16" s="220"/>
      <c r="E16" s="220"/>
      <c r="F16" s="220"/>
      <c r="G16" s="220"/>
      <c r="H16" s="220"/>
      <c r="I16" s="118" t="s">
        <v>110</v>
      </c>
      <c r="J16" s="118" t="s">
        <v>83</v>
      </c>
      <c r="K16" s="226"/>
      <c r="L16" s="199"/>
      <c r="M16" s="199"/>
      <c r="N16" s="228"/>
      <c r="O16" s="228"/>
      <c r="P16" s="229"/>
      <c r="Q16" s="199"/>
      <c r="R16" s="71"/>
      <c r="S16" s="71"/>
      <c r="T16" s="71"/>
      <c r="U16" s="71"/>
      <c r="V16" s="71"/>
      <c r="W16" s="71"/>
      <c r="X16" s="71"/>
    </row>
    <row r="17" spans="1:24" ht="15" customHeight="1" hidden="1">
      <c r="A17" s="43"/>
      <c r="B17" s="220"/>
      <c r="C17" s="225">
        <f>C15*1.18</f>
        <v>2481.717</v>
      </c>
      <c r="D17" s="225"/>
      <c r="E17" s="225"/>
      <c r="F17" s="225"/>
      <c r="G17" s="225"/>
      <c r="H17" s="225"/>
      <c r="I17" s="126">
        <v>17.13</v>
      </c>
      <c r="J17" s="126">
        <f>I17*1.18</f>
        <v>20.213399999999996</v>
      </c>
      <c r="K17" s="226"/>
      <c r="L17" s="199"/>
      <c r="M17" s="199"/>
      <c r="N17" s="228"/>
      <c r="O17" s="228"/>
      <c r="P17" s="229"/>
      <c r="Q17" s="199"/>
      <c r="R17" s="71"/>
      <c r="S17" s="71"/>
      <c r="T17" s="71"/>
      <c r="U17" s="71"/>
      <c r="V17" s="71"/>
      <c r="W17" s="71"/>
      <c r="X17" s="71"/>
    </row>
    <row r="18" spans="1:24" ht="15" customHeight="1" hidden="1">
      <c r="A18" s="43"/>
      <c r="B18" s="45" t="s">
        <v>111</v>
      </c>
      <c r="C18" s="45"/>
      <c r="D18" s="45"/>
      <c r="E18" s="55"/>
      <c r="F18" s="55"/>
      <c r="G18" s="57">
        <f>F18+E18+D18+C18</f>
        <v>0</v>
      </c>
      <c r="H18" s="55"/>
      <c r="I18" s="55"/>
      <c r="J18" s="55">
        <v>41.41</v>
      </c>
      <c r="K18" s="55">
        <v>2137.35</v>
      </c>
      <c r="L18" s="124"/>
      <c r="M18" s="124"/>
      <c r="N18" s="58"/>
      <c r="O18" s="60">
        <v>1950</v>
      </c>
      <c r="P18" s="125">
        <v>4.59379</v>
      </c>
      <c r="Q18" s="120">
        <f aca="true" t="shared" si="1" ref="Q18:Q23">P18*O18</f>
        <v>8957.890500000001</v>
      </c>
      <c r="R18" s="71"/>
      <c r="S18" s="71"/>
      <c r="T18" s="71"/>
      <c r="U18" s="71"/>
      <c r="V18" s="71"/>
      <c r="W18" s="71"/>
      <c r="X18" s="71"/>
    </row>
    <row r="19" spans="1:24" ht="15" customHeight="1" hidden="1">
      <c r="A19" s="43"/>
      <c r="B19" s="45" t="s">
        <v>112</v>
      </c>
      <c r="C19" s="45"/>
      <c r="D19" s="45"/>
      <c r="E19" s="55"/>
      <c r="F19" s="55"/>
      <c r="G19" s="57">
        <f>F19+E19+D19+C19</f>
        <v>0</v>
      </c>
      <c r="H19" s="55"/>
      <c r="I19" s="55"/>
      <c r="J19" s="55">
        <v>38.04</v>
      </c>
      <c r="K19" s="55">
        <v>1963.32</v>
      </c>
      <c r="L19" s="124"/>
      <c r="M19" s="124"/>
      <c r="N19" s="58"/>
      <c r="O19" s="60">
        <v>1686</v>
      </c>
      <c r="P19" s="125">
        <v>4.67442</v>
      </c>
      <c r="Q19" s="120">
        <f t="shared" si="1"/>
        <v>7881.072119999999</v>
      </c>
      <c r="R19" s="71"/>
      <c r="S19" s="71"/>
      <c r="T19" s="71"/>
      <c r="U19" s="71"/>
      <c r="V19" s="71"/>
      <c r="W19" s="71"/>
      <c r="X19" s="71"/>
    </row>
    <row r="20" spans="1:24" ht="15" customHeight="1" hidden="1">
      <c r="A20" s="43"/>
      <c r="B20" s="44" t="s">
        <v>113</v>
      </c>
      <c r="C20" s="118"/>
      <c r="D20" s="118"/>
      <c r="E20" s="124"/>
      <c r="F20" s="124"/>
      <c r="G20" s="59">
        <f>F20+E20+D20+C20</f>
        <v>0</v>
      </c>
      <c r="H20" s="124"/>
      <c r="I20" s="120"/>
      <c r="J20" s="120">
        <v>23.56</v>
      </c>
      <c r="K20" s="120">
        <v>1216.17</v>
      </c>
      <c r="L20" s="124"/>
      <c r="M20" s="124"/>
      <c r="N20" s="58"/>
      <c r="O20" s="60">
        <v>2754</v>
      </c>
      <c r="P20" s="125">
        <v>4.28833</v>
      </c>
      <c r="Q20" s="120">
        <f t="shared" si="1"/>
        <v>11810.06082</v>
      </c>
      <c r="R20" s="71"/>
      <c r="S20" s="71"/>
      <c r="T20" s="71"/>
      <c r="U20" s="71"/>
      <c r="V20" s="71"/>
      <c r="W20" s="71"/>
      <c r="X20" s="71"/>
    </row>
    <row r="21" spans="1:24" ht="15" customHeight="1" hidden="1">
      <c r="A21" s="43"/>
      <c r="B21" s="44" t="s">
        <v>114</v>
      </c>
      <c r="C21" s="54">
        <v>32.369</v>
      </c>
      <c r="D21" s="44"/>
      <c r="E21" s="120"/>
      <c r="F21" s="120"/>
      <c r="G21" s="61">
        <f>F21+E21+D21+C21</f>
        <v>32.369</v>
      </c>
      <c r="H21" s="120">
        <v>80330.7</v>
      </c>
      <c r="I21" s="60"/>
      <c r="J21" s="120">
        <v>32.56</v>
      </c>
      <c r="K21" s="120">
        <v>1680.53</v>
      </c>
      <c r="L21" s="124"/>
      <c r="M21" s="124"/>
      <c r="N21" s="58"/>
      <c r="O21" s="60">
        <v>2760</v>
      </c>
      <c r="P21" s="125">
        <v>4.23582</v>
      </c>
      <c r="Q21" s="120">
        <f t="shared" si="1"/>
        <v>11690.863200000002</v>
      </c>
      <c r="R21" s="71"/>
      <c r="S21" s="71"/>
      <c r="T21" s="71"/>
      <c r="U21" s="71"/>
      <c r="V21" s="71"/>
      <c r="W21" s="71"/>
      <c r="X21" s="71"/>
    </row>
    <row r="22" spans="1:24" ht="15" customHeight="1" hidden="1">
      <c r="A22" s="43"/>
      <c r="B22" s="44" t="s">
        <v>115</v>
      </c>
      <c r="C22" s="54">
        <v>32.403</v>
      </c>
      <c r="D22" s="44"/>
      <c r="E22" s="120"/>
      <c r="F22" s="120"/>
      <c r="G22" s="61">
        <f>F22+E22+D22+C22</f>
        <v>32.403</v>
      </c>
      <c r="H22" s="120">
        <v>80415.08</v>
      </c>
      <c r="I22" s="120"/>
      <c r="J22" s="120">
        <v>28.79</v>
      </c>
      <c r="K22" s="120">
        <v>1486.12</v>
      </c>
      <c r="L22" s="124"/>
      <c r="M22" s="124"/>
      <c r="N22" s="124"/>
      <c r="O22" s="124">
        <v>2454</v>
      </c>
      <c r="P22" s="78"/>
      <c r="Q22" s="120">
        <f t="shared" si="1"/>
        <v>0</v>
      </c>
      <c r="R22" s="71"/>
      <c r="S22" s="71"/>
      <c r="T22" s="71"/>
      <c r="U22" s="71"/>
      <c r="V22" s="71"/>
      <c r="W22" s="71"/>
      <c r="X22" s="71"/>
    </row>
    <row r="23" spans="1:24" ht="15" customHeight="1" hidden="1">
      <c r="A23" s="43"/>
      <c r="B23" s="44" t="s">
        <v>116</v>
      </c>
      <c r="C23" s="54">
        <v>40.13</v>
      </c>
      <c r="D23" s="44"/>
      <c r="E23" s="120"/>
      <c r="F23" s="120"/>
      <c r="G23" s="61">
        <v>40.13</v>
      </c>
      <c r="H23" s="120">
        <v>99591.3</v>
      </c>
      <c r="I23" s="120"/>
      <c r="J23" s="120">
        <v>30.3</v>
      </c>
      <c r="K23" s="120">
        <v>1564.14</v>
      </c>
      <c r="L23" s="124"/>
      <c r="M23" s="124"/>
      <c r="N23" s="124"/>
      <c r="O23" s="124">
        <v>3234</v>
      </c>
      <c r="P23" s="78"/>
      <c r="Q23" s="120">
        <f t="shared" si="1"/>
        <v>0</v>
      </c>
      <c r="R23" s="71"/>
      <c r="S23" s="71"/>
      <c r="T23" s="71"/>
      <c r="U23" s="71"/>
      <c r="V23" s="71"/>
      <c r="W23" s="71"/>
      <c r="X23" s="71"/>
    </row>
    <row r="24" spans="1:24" ht="15" customHeight="1">
      <c r="A24" s="43"/>
      <c r="B24" s="118" t="s">
        <v>117</v>
      </c>
      <c r="C24" s="59">
        <f aca="true" t="shared" si="2" ref="C24:K24">C23+C22+C21+C20+C19+C18+C13+C12+C11+C10+C9+C8</f>
        <v>233.375</v>
      </c>
      <c r="D24" s="124">
        <f t="shared" si="2"/>
        <v>0</v>
      </c>
      <c r="E24" s="124">
        <f t="shared" si="2"/>
        <v>0</v>
      </c>
      <c r="F24" s="124">
        <f t="shared" si="2"/>
        <v>0</v>
      </c>
      <c r="G24" s="59">
        <f t="shared" si="2"/>
        <v>233.375</v>
      </c>
      <c r="H24" s="124">
        <f t="shared" si="2"/>
        <v>566965.62</v>
      </c>
      <c r="I24" s="124">
        <f t="shared" si="2"/>
        <v>0</v>
      </c>
      <c r="J24" s="124">
        <f t="shared" si="2"/>
        <v>370.18000000000006</v>
      </c>
      <c r="K24" s="124">
        <f t="shared" si="2"/>
        <v>18656.71</v>
      </c>
      <c r="L24" s="58"/>
      <c r="M24" s="58"/>
      <c r="N24" s="124"/>
      <c r="O24" s="79">
        <v>3000</v>
      </c>
      <c r="P24" s="78"/>
      <c r="Q24" s="58"/>
      <c r="R24" s="71"/>
      <c r="S24" s="71"/>
      <c r="T24" s="71"/>
      <c r="U24" s="71"/>
      <c r="V24" s="71"/>
      <c r="W24" s="104">
        <f>O24*$W$456/$O$456</f>
        <v>27.500043639630064</v>
      </c>
      <c r="X24" s="104">
        <f>O24*$X$456/$O$456</f>
        <v>16.205635598237997</v>
      </c>
    </row>
    <row r="25" spans="1:24" ht="15" customHeight="1">
      <c r="A25" s="42">
        <v>2</v>
      </c>
      <c r="B25" s="221" t="s">
        <v>118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71"/>
      <c r="S25" s="71"/>
      <c r="T25" s="71" t="s">
        <v>79</v>
      </c>
      <c r="U25" s="71"/>
      <c r="V25" s="71"/>
      <c r="W25" s="104"/>
      <c r="X25" s="104"/>
    </row>
    <row r="26" spans="1:24" ht="15" customHeight="1" hidden="1">
      <c r="A26" s="43"/>
      <c r="B26" s="199" t="s">
        <v>80</v>
      </c>
      <c r="C26" s="199" t="s">
        <v>81</v>
      </c>
      <c r="D26" s="199"/>
      <c r="E26" s="199"/>
      <c r="F26" s="199"/>
      <c r="G26" s="199"/>
      <c r="H26" s="199"/>
      <c r="I26" s="118" t="s">
        <v>82</v>
      </c>
      <c r="J26" s="118" t="s">
        <v>83</v>
      </c>
      <c r="K26" s="118" t="s">
        <v>84</v>
      </c>
      <c r="L26" s="199" t="s">
        <v>85</v>
      </c>
      <c r="M26" s="199" t="s">
        <v>86</v>
      </c>
      <c r="N26" s="199" t="s">
        <v>87</v>
      </c>
      <c r="O26" s="199" t="s">
        <v>88</v>
      </c>
      <c r="P26" s="200" t="s">
        <v>89</v>
      </c>
      <c r="Q26" s="199" t="s">
        <v>90</v>
      </c>
      <c r="R26" s="71"/>
      <c r="S26" s="71"/>
      <c r="T26" s="74">
        <v>21815008</v>
      </c>
      <c r="U26" s="71"/>
      <c r="V26" s="71"/>
      <c r="W26" s="104" t="e">
        <f aca="true" t="shared" si="3" ref="W26:W89">O26*$W$456/$O$456</f>
        <v>#VALUE!</v>
      </c>
      <c r="X26" s="104" t="e">
        <f aca="true" t="shared" si="4" ref="X26:X89">O26*$X$456/$O$456</f>
        <v>#VALUE!</v>
      </c>
    </row>
    <row r="27" spans="1:24" ht="15" customHeight="1" hidden="1">
      <c r="A27" s="43"/>
      <c r="B27" s="199"/>
      <c r="C27" s="199">
        <v>2022.64</v>
      </c>
      <c r="D27" s="199"/>
      <c r="E27" s="199"/>
      <c r="F27" s="199"/>
      <c r="G27" s="199"/>
      <c r="H27" s="199"/>
      <c r="I27" s="126">
        <v>25.35</v>
      </c>
      <c r="J27" s="126">
        <f>I27*1.18</f>
        <v>29.913</v>
      </c>
      <c r="K27" s="226">
        <f>29.913+19.14</f>
        <v>49.053</v>
      </c>
      <c r="L27" s="199"/>
      <c r="M27" s="199"/>
      <c r="N27" s="199"/>
      <c r="O27" s="199"/>
      <c r="P27" s="200"/>
      <c r="Q27" s="199"/>
      <c r="R27" s="71"/>
      <c r="S27" s="71"/>
      <c r="T27" s="74">
        <v>809165</v>
      </c>
      <c r="U27" s="71"/>
      <c r="V27" s="71"/>
      <c r="W27" s="104">
        <f t="shared" si="3"/>
        <v>0</v>
      </c>
      <c r="X27" s="104">
        <f t="shared" si="4"/>
        <v>0</v>
      </c>
    </row>
    <row r="28" spans="1:24" ht="15" customHeight="1" hidden="1">
      <c r="A28" s="43"/>
      <c r="B28" s="199"/>
      <c r="C28" s="199" t="s">
        <v>93</v>
      </c>
      <c r="D28" s="199"/>
      <c r="E28" s="199"/>
      <c r="F28" s="199"/>
      <c r="G28" s="199"/>
      <c r="H28" s="199"/>
      <c r="I28" s="118" t="s">
        <v>94</v>
      </c>
      <c r="J28" s="118" t="s">
        <v>83</v>
      </c>
      <c r="K28" s="226"/>
      <c r="L28" s="199"/>
      <c r="M28" s="199"/>
      <c r="N28" s="199"/>
      <c r="O28" s="199"/>
      <c r="P28" s="200"/>
      <c r="Q28" s="199"/>
      <c r="R28" s="71"/>
      <c r="S28" s="71"/>
      <c r="T28" s="74">
        <v>604986</v>
      </c>
      <c r="U28" s="71"/>
      <c r="V28" s="71"/>
      <c r="W28" s="104">
        <f t="shared" si="3"/>
        <v>0</v>
      </c>
      <c r="X28" s="104">
        <f t="shared" si="4"/>
        <v>0</v>
      </c>
    </row>
    <row r="29" spans="1:24" ht="15" customHeight="1" hidden="1">
      <c r="A29" s="43"/>
      <c r="B29" s="199"/>
      <c r="C29" s="207">
        <f>C27*1.18</f>
        <v>2386.7152</v>
      </c>
      <c r="D29" s="207"/>
      <c r="E29" s="207"/>
      <c r="F29" s="207"/>
      <c r="G29" s="207"/>
      <c r="H29" s="207"/>
      <c r="I29" s="126">
        <v>16.22</v>
      </c>
      <c r="J29" s="126">
        <f>I29*1.18</f>
        <v>19.139599999999998</v>
      </c>
      <c r="K29" s="226"/>
      <c r="L29" s="199"/>
      <c r="M29" s="199"/>
      <c r="N29" s="199"/>
      <c r="O29" s="199"/>
      <c r="P29" s="200"/>
      <c r="Q29" s="199"/>
      <c r="R29" s="71"/>
      <c r="S29" s="71"/>
      <c r="T29" s="74">
        <v>809175</v>
      </c>
      <c r="U29" s="71"/>
      <c r="V29" s="71"/>
      <c r="W29" s="104">
        <f t="shared" si="3"/>
        <v>0</v>
      </c>
      <c r="X29" s="104">
        <f t="shared" si="4"/>
        <v>0</v>
      </c>
    </row>
    <row r="30" spans="1:24" ht="45" customHeight="1" hidden="1">
      <c r="A30" s="43"/>
      <c r="B30" s="118" t="s">
        <v>96</v>
      </c>
      <c r="C30" s="118" t="s">
        <v>97</v>
      </c>
      <c r="D30" s="118" t="s">
        <v>98</v>
      </c>
      <c r="E30" s="118" t="s">
        <v>99</v>
      </c>
      <c r="F30" s="118" t="s">
        <v>100</v>
      </c>
      <c r="G30" s="118" t="s">
        <v>101</v>
      </c>
      <c r="H30" s="118" t="s">
        <v>90</v>
      </c>
      <c r="I30" s="118" t="s">
        <v>171</v>
      </c>
      <c r="J30" s="118" t="s">
        <v>102</v>
      </c>
      <c r="K30" s="118" t="s">
        <v>90</v>
      </c>
      <c r="L30" s="199"/>
      <c r="M30" s="199"/>
      <c r="N30" s="199"/>
      <c r="O30" s="199"/>
      <c r="P30" s="200"/>
      <c r="Q30" s="199"/>
      <c r="R30" s="71"/>
      <c r="S30" s="71"/>
      <c r="T30" s="74">
        <v>29274008</v>
      </c>
      <c r="U30" s="71"/>
      <c r="V30" s="71"/>
      <c r="W30" s="104">
        <f t="shared" si="3"/>
        <v>0</v>
      </c>
      <c r="X30" s="104">
        <f t="shared" si="4"/>
        <v>0</v>
      </c>
    </row>
    <row r="31" spans="1:24" ht="15" customHeight="1" hidden="1">
      <c r="A31" s="43"/>
      <c r="B31" s="118" t="s">
        <v>103</v>
      </c>
      <c r="C31" s="75">
        <v>200.3</v>
      </c>
      <c r="D31" s="118"/>
      <c r="E31" s="126"/>
      <c r="F31" s="75"/>
      <c r="G31" s="75">
        <f>D31+C31</f>
        <v>200.3</v>
      </c>
      <c r="H31" s="58">
        <v>478059.05</v>
      </c>
      <c r="I31" s="120">
        <v>520.47</v>
      </c>
      <c r="J31" s="120"/>
      <c r="K31" s="120">
        <v>25528.44</v>
      </c>
      <c r="L31" s="120"/>
      <c r="M31" s="120"/>
      <c r="N31" s="120"/>
      <c r="O31" s="120">
        <v>99888</v>
      </c>
      <c r="P31" s="125">
        <v>3.77026</v>
      </c>
      <c r="Q31" s="120">
        <f aca="true" t="shared" si="5" ref="Q31:Q36">P31*O31</f>
        <v>376603.73088</v>
      </c>
      <c r="R31" s="71"/>
      <c r="S31" s="71"/>
      <c r="T31" s="74">
        <v>809913</v>
      </c>
      <c r="U31" s="71"/>
      <c r="V31" s="71"/>
      <c r="W31" s="104">
        <f t="shared" si="3"/>
        <v>915.6414530251225</v>
      </c>
      <c r="X31" s="104">
        <f t="shared" si="4"/>
        <v>539.5828428789323</v>
      </c>
    </row>
    <row r="32" spans="1:24" ht="15" customHeight="1" hidden="1">
      <c r="A32" s="43"/>
      <c r="B32" s="44" t="s">
        <v>104</v>
      </c>
      <c r="C32" s="54">
        <v>142.3</v>
      </c>
      <c r="D32" s="44"/>
      <c r="E32" s="44"/>
      <c r="F32" s="44"/>
      <c r="G32" s="62">
        <f>D32+C32</f>
        <v>142.3</v>
      </c>
      <c r="H32" s="44">
        <v>339629.58</v>
      </c>
      <c r="I32" s="120">
        <v>460.37</v>
      </c>
      <c r="J32" s="120"/>
      <c r="K32" s="120">
        <v>22580.61</v>
      </c>
      <c r="L32" s="124"/>
      <c r="M32" s="124"/>
      <c r="N32" s="124"/>
      <c r="O32" s="120">
        <v>87432</v>
      </c>
      <c r="P32" s="125">
        <v>3.94348</v>
      </c>
      <c r="Q32" s="120">
        <f t="shared" si="5"/>
        <v>344786.34336</v>
      </c>
      <c r="R32" s="71"/>
      <c r="S32" s="71"/>
      <c r="T32" s="74">
        <v>7611</v>
      </c>
      <c r="U32" s="71"/>
      <c r="V32" s="71"/>
      <c r="W32" s="104">
        <f t="shared" si="3"/>
        <v>801.4612718333786</v>
      </c>
      <c r="X32" s="104">
        <f t="shared" si="4"/>
        <v>472.2970438750482</v>
      </c>
    </row>
    <row r="33" spans="1:24" ht="15" customHeight="1" hidden="1">
      <c r="A33" s="43"/>
      <c r="B33" s="44" t="s">
        <v>105</v>
      </c>
      <c r="C33" s="54">
        <v>138.2</v>
      </c>
      <c r="D33" s="44"/>
      <c r="E33" s="44"/>
      <c r="F33" s="44"/>
      <c r="G33" s="62">
        <f>D33+C33</f>
        <v>138.2</v>
      </c>
      <c r="H33" s="44">
        <v>329844.04</v>
      </c>
      <c r="I33" s="120">
        <v>416.12</v>
      </c>
      <c r="J33" s="120"/>
      <c r="K33" s="120">
        <v>20410.2</v>
      </c>
      <c r="L33" s="124"/>
      <c r="M33" s="124"/>
      <c r="N33" s="124"/>
      <c r="O33" s="120">
        <v>102568</v>
      </c>
      <c r="P33" s="125">
        <v>3.92864</v>
      </c>
      <c r="Q33" s="120">
        <f t="shared" si="5"/>
        <v>402952.74752000003</v>
      </c>
      <c r="R33" s="71"/>
      <c r="S33" s="71"/>
      <c r="T33" s="74">
        <v>7771</v>
      </c>
      <c r="U33" s="71"/>
      <c r="V33" s="71"/>
      <c r="W33" s="104">
        <f t="shared" si="3"/>
        <v>940.2081586765254</v>
      </c>
      <c r="X33" s="104">
        <f t="shared" si="4"/>
        <v>554.0598773466916</v>
      </c>
    </row>
    <row r="34" spans="1:24" ht="15" customHeight="1" hidden="1">
      <c r="A34" s="43"/>
      <c r="B34" s="44" t="s">
        <v>106</v>
      </c>
      <c r="C34" s="54">
        <v>78.5</v>
      </c>
      <c r="D34" s="44"/>
      <c r="E34" s="44"/>
      <c r="F34" s="44"/>
      <c r="G34" s="62">
        <f>D34+C34</f>
        <v>78.5</v>
      </c>
      <c r="H34" s="44">
        <v>187357.46</v>
      </c>
      <c r="I34" s="120">
        <v>503.3</v>
      </c>
      <c r="J34" s="120"/>
      <c r="K34" s="120">
        <v>24686.27</v>
      </c>
      <c r="L34" s="124"/>
      <c r="M34" s="124"/>
      <c r="N34" s="124"/>
      <c r="O34" s="120">
        <v>74360</v>
      </c>
      <c r="P34" s="125">
        <v>3.84733</v>
      </c>
      <c r="Q34" s="120">
        <f t="shared" si="5"/>
        <v>286087.4588</v>
      </c>
      <c r="R34" s="71"/>
      <c r="S34" s="71"/>
      <c r="T34" s="74">
        <v>7773</v>
      </c>
      <c r="U34" s="71"/>
      <c r="V34" s="71"/>
      <c r="W34" s="104">
        <f t="shared" si="3"/>
        <v>681.6344150142971</v>
      </c>
      <c r="X34" s="104">
        <f t="shared" si="4"/>
        <v>401.6836876949925</v>
      </c>
    </row>
    <row r="35" spans="1:24" ht="15" customHeight="1" hidden="1">
      <c r="A35" s="43"/>
      <c r="B35" s="118" t="s">
        <v>107</v>
      </c>
      <c r="C35" s="77"/>
      <c r="D35" s="118"/>
      <c r="E35" s="118"/>
      <c r="F35" s="118"/>
      <c r="G35" s="118"/>
      <c r="H35" s="118"/>
      <c r="I35" s="120">
        <v>410.83</v>
      </c>
      <c r="J35" s="120"/>
      <c r="K35" s="120">
        <v>20150.73</v>
      </c>
      <c r="L35" s="124"/>
      <c r="M35" s="124"/>
      <c r="N35" s="124"/>
      <c r="O35" s="120">
        <v>90824</v>
      </c>
      <c r="P35" s="125">
        <v>3.93847</v>
      </c>
      <c r="Q35" s="120">
        <f t="shared" si="5"/>
        <v>357707.59928</v>
      </c>
      <c r="R35" s="71"/>
      <c r="S35" s="71"/>
      <c r="T35" s="74">
        <v>7627</v>
      </c>
      <c r="U35" s="71"/>
      <c r="V35" s="71"/>
      <c r="W35" s="104">
        <f t="shared" si="3"/>
        <v>832.554654508587</v>
      </c>
      <c r="X35" s="104">
        <f t="shared" si="4"/>
        <v>490.6202158581226</v>
      </c>
    </row>
    <row r="36" spans="1:24" ht="15" customHeight="1" hidden="1">
      <c r="A36" s="43"/>
      <c r="B36" s="118" t="s">
        <v>108</v>
      </c>
      <c r="C36" s="77"/>
      <c r="D36" s="118"/>
      <c r="E36" s="118"/>
      <c r="F36" s="118"/>
      <c r="G36" s="118"/>
      <c r="H36" s="118"/>
      <c r="I36" s="120">
        <v>474.9</v>
      </c>
      <c r="J36" s="120"/>
      <c r="K36" s="120">
        <v>23293.29</v>
      </c>
      <c r="L36" s="124"/>
      <c r="M36" s="124"/>
      <c r="N36" s="124"/>
      <c r="O36" s="120">
        <v>94192</v>
      </c>
      <c r="P36" s="125">
        <v>3.97841</v>
      </c>
      <c r="Q36" s="120">
        <f t="shared" si="5"/>
        <v>374734.39472</v>
      </c>
      <c r="R36" s="71"/>
      <c r="S36" s="71"/>
      <c r="T36" s="71" t="s">
        <v>95</v>
      </c>
      <c r="U36" s="71"/>
      <c r="V36" s="71"/>
      <c r="W36" s="104">
        <f t="shared" si="3"/>
        <v>863.4280368346783</v>
      </c>
      <c r="X36" s="104">
        <f t="shared" si="4"/>
        <v>508.81374275641116</v>
      </c>
    </row>
    <row r="37" spans="1:24" ht="15" customHeight="1" hidden="1">
      <c r="A37" s="43"/>
      <c r="B37" s="220" t="s">
        <v>109</v>
      </c>
      <c r="C37" s="220" t="s">
        <v>81</v>
      </c>
      <c r="D37" s="220"/>
      <c r="E37" s="220"/>
      <c r="F37" s="220"/>
      <c r="G37" s="220"/>
      <c r="H37" s="220"/>
      <c r="I37" s="118" t="s">
        <v>82</v>
      </c>
      <c r="J37" s="118" t="s">
        <v>83</v>
      </c>
      <c r="K37" s="118" t="s">
        <v>84</v>
      </c>
      <c r="L37" s="199"/>
      <c r="M37" s="199"/>
      <c r="N37" s="228"/>
      <c r="O37" s="228"/>
      <c r="P37" s="229"/>
      <c r="Q37" s="199"/>
      <c r="R37" s="71"/>
      <c r="S37" s="71"/>
      <c r="T37" s="71"/>
      <c r="U37" s="71"/>
      <c r="V37" s="71"/>
      <c r="W37" s="104">
        <f t="shared" si="3"/>
        <v>0</v>
      </c>
      <c r="X37" s="104">
        <f t="shared" si="4"/>
        <v>0</v>
      </c>
    </row>
    <row r="38" spans="1:24" ht="15" customHeight="1" hidden="1">
      <c r="A38" s="43"/>
      <c r="B38" s="220"/>
      <c r="C38" s="220">
        <v>2103.15</v>
      </c>
      <c r="D38" s="220"/>
      <c r="E38" s="220"/>
      <c r="F38" s="220"/>
      <c r="G38" s="220"/>
      <c r="H38" s="220"/>
      <c r="I38" s="126">
        <v>26.61</v>
      </c>
      <c r="J38" s="126">
        <f>I38*1.18</f>
        <v>31.3998</v>
      </c>
      <c r="K38" s="226">
        <f>J40+J38</f>
        <v>51.61319999999999</v>
      </c>
      <c r="L38" s="199"/>
      <c r="M38" s="199"/>
      <c r="N38" s="228"/>
      <c r="O38" s="228"/>
      <c r="P38" s="229"/>
      <c r="Q38" s="199"/>
      <c r="R38" s="71"/>
      <c r="S38" s="71"/>
      <c r="T38" s="71"/>
      <c r="U38" s="71"/>
      <c r="V38" s="71"/>
      <c r="W38" s="104">
        <f t="shared" si="3"/>
        <v>0</v>
      </c>
      <c r="X38" s="104">
        <f t="shared" si="4"/>
        <v>0</v>
      </c>
    </row>
    <row r="39" spans="1:24" ht="15" customHeight="1" hidden="1">
      <c r="A39" s="43"/>
      <c r="B39" s="220"/>
      <c r="C39" s="220" t="s">
        <v>93</v>
      </c>
      <c r="D39" s="220"/>
      <c r="E39" s="220"/>
      <c r="F39" s="220"/>
      <c r="G39" s="220"/>
      <c r="H39" s="220"/>
      <c r="I39" s="118" t="s">
        <v>110</v>
      </c>
      <c r="J39" s="118" t="s">
        <v>83</v>
      </c>
      <c r="K39" s="226"/>
      <c r="L39" s="199"/>
      <c r="M39" s="199"/>
      <c r="N39" s="228"/>
      <c r="O39" s="228"/>
      <c r="P39" s="229"/>
      <c r="Q39" s="199"/>
      <c r="R39" s="71"/>
      <c r="S39" s="71"/>
      <c r="T39" s="71"/>
      <c r="U39" s="71"/>
      <c r="V39" s="71"/>
      <c r="W39" s="104">
        <f t="shared" si="3"/>
        <v>0</v>
      </c>
      <c r="X39" s="104">
        <f t="shared" si="4"/>
        <v>0</v>
      </c>
    </row>
    <row r="40" spans="1:24" ht="15" customHeight="1" hidden="1">
      <c r="A40" s="43"/>
      <c r="B40" s="220"/>
      <c r="C40" s="225">
        <f>C38*1.18</f>
        <v>2481.717</v>
      </c>
      <c r="D40" s="225"/>
      <c r="E40" s="225"/>
      <c r="F40" s="225"/>
      <c r="G40" s="225"/>
      <c r="H40" s="225"/>
      <c r="I40" s="126">
        <v>17.13</v>
      </c>
      <c r="J40" s="126">
        <f>I40*1.18</f>
        <v>20.213399999999996</v>
      </c>
      <c r="K40" s="226"/>
      <c r="L40" s="199"/>
      <c r="M40" s="199"/>
      <c r="N40" s="228"/>
      <c r="O40" s="228"/>
      <c r="P40" s="229"/>
      <c r="Q40" s="199"/>
      <c r="R40" s="71"/>
      <c r="S40" s="71"/>
      <c r="T40" s="71"/>
      <c r="U40" s="71"/>
      <c r="V40" s="71"/>
      <c r="W40" s="104">
        <f t="shared" si="3"/>
        <v>0</v>
      </c>
      <c r="X40" s="104">
        <f t="shared" si="4"/>
        <v>0</v>
      </c>
    </row>
    <row r="41" spans="1:24" ht="15" customHeight="1" hidden="1">
      <c r="A41" s="43"/>
      <c r="B41" s="45" t="s">
        <v>111</v>
      </c>
      <c r="C41" s="45"/>
      <c r="D41" s="45"/>
      <c r="E41" s="55"/>
      <c r="F41" s="56"/>
      <c r="G41" s="57">
        <f aca="true" t="shared" si="6" ref="G41:G46">F41+E41+D41+C41</f>
        <v>0</v>
      </c>
      <c r="H41" s="56"/>
      <c r="I41" s="55">
        <v>541.61</v>
      </c>
      <c r="J41" s="55"/>
      <c r="K41" s="55">
        <v>27954.33</v>
      </c>
      <c r="L41" s="124"/>
      <c r="M41" s="124"/>
      <c r="N41" s="58"/>
      <c r="O41" s="60">
        <v>116648</v>
      </c>
      <c r="P41" s="125">
        <v>4.59379</v>
      </c>
      <c r="Q41" s="120">
        <f aca="true" t="shared" si="7" ref="Q41:Q46">P41*O41</f>
        <v>535856.41592</v>
      </c>
      <c r="R41" s="71"/>
      <c r="S41" s="71"/>
      <c r="T41" s="71"/>
      <c r="U41" s="71"/>
      <c r="V41" s="71"/>
      <c r="W41" s="104">
        <f t="shared" si="3"/>
        <v>1069.2750301585224</v>
      </c>
      <c r="X41" s="104">
        <f t="shared" si="4"/>
        <v>630.1183270877552</v>
      </c>
    </row>
    <row r="42" spans="1:24" ht="15" customHeight="1" hidden="1">
      <c r="A42" s="43"/>
      <c r="B42" s="45" t="s">
        <v>112</v>
      </c>
      <c r="C42" s="45"/>
      <c r="D42" s="45"/>
      <c r="E42" s="56"/>
      <c r="F42" s="56"/>
      <c r="G42" s="57">
        <f t="shared" si="6"/>
        <v>0</v>
      </c>
      <c r="H42" s="56"/>
      <c r="I42" s="55">
        <v>535</v>
      </c>
      <c r="J42" s="55"/>
      <c r="K42" s="55">
        <v>27613.16</v>
      </c>
      <c r="L42" s="124"/>
      <c r="M42" s="124"/>
      <c r="N42" s="58"/>
      <c r="O42" s="60">
        <v>110824</v>
      </c>
      <c r="P42" s="125">
        <v>4.67442</v>
      </c>
      <c r="Q42" s="120">
        <f t="shared" si="7"/>
        <v>518037.92207999993</v>
      </c>
      <c r="R42" s="71"/>
      <c r="S42" s="71"/>
      <c r="T42" s="71"/>
      <c r="U42" s="71"/>
      <c r="V42" s="71"/>
      <c r="W42" s="104">
        <f t="shared" si="3"/>
        <v>1015.8882787727873</v>
      </c>
      <c r="X42" s="104">
        <f t="shared" si="4"/>
        <v>598.6577865130425</v>
      </c>
    </row>
    <row r="43" spans="1:24" ht="15" customHeight="1" hidden="1">
      <c r="A43" s="43"/>
      <c r="B43" s="118" t="s">
        <v>113</v>
      </c>
      <c r="C43" s="118"/>
      <c r="D43" s="118"/>
      <c r="E43" s="58"/>
      <c r="F43" s="58"/>
      <c r="G43" s="59">
        <f t="shared" si="6"/>
        <v>0</v>
      </c>
      <c r="H43" s="58"/>
      <c r="I43" s="120">
        <v>453.93</v>
      </c>
      <c r="J43" s="120"/>
      <c r="K43" s="120">
        <v>22499.82</v>
      </c>
      <c r="L43" s="124"/>
      <c r="M43" s="124"/>
      <c r="N43" s="58"/>
      <c r="O43" s="60">
        <v>93744</v>
      </c>
      <c r="P43" s="125">
        <v>4.28833</v>
      </c>
      <c r="Q43" s="120">
        <f t="shared" si="7"/>
        <v>402005.20752</v>
      </c>
      <c r="R43" s="71"/>
      <c r="S43" s="71"/>
      <c r="T43" s="71"/>
      <c r="U43" s="71"/>
      <c r="V43" s="71"/>
      <c r="W43" s="104">
        <f t="shared" si="3"/>
        <v>859.3213636511603</v>
      </c>
      <c r="X43" s="104">
        <f t="shared" si="4"/>
        <v>506.3937011737409</v>
      </c>
    </row>
    <row r="44" spans="1:24" ht="15" customHeight="1" hidden="1">
      <c r="A44" s="43"/>
      <c r="B44" s="44" t="s">
        <v>114</v>
      </c>
      <c r="C44" s="54">
        <v>82.3</v>
      </c>
      <c r="D44" s="44"/>
      <c r="E44" s="60"/>
      <c r="F44" s="60"/>
      <c r="G44" s="61">
        <f t="shared" si="6"/>
        <v>82.3</v>
      </c>
      <c r="H44" s="60">
        <v>204245.31</v>
      </c>
      <c r="I44" s="60">
        <v>482.17</v>
      </c>
      <c r="J44" s="120"/>
      <c r="K44" s="120">
        <v>24886.43</v>
      </c>
      <c r="L44" s="124"/>
      <c r="M44" s="124"/>
      <c r="N44" s="58"/>
      <c r="O44" s="60">
        <v>109008</v>
      </c>
      <c r="P44" s="125">
        <v>4.23582</v>
      </c>
      <c r="Q44" s="120">
        <f t="shared" si="7"/>
        <v>461738.26656</v>
      </c>
      <c r="R44" s="71"/>
      <c r="S44" s="71"/>
      <c r="T44" s="71"/>
      <c r="U44" s="71"/>
      <c r="V44" s="71"/>
      <c r="W44" s="104">
        <f t="shared" si="3"/>
        <v>999.241585689598</v>
      </c>
      <c r="X44" s="104">
        <f t="shared" si="4"/>
        <v>588.8479750975758</v>
      </c>
    </row>
    <row r="45" spans="1:24" ht="15" customHeight="1" hidden="1">
      <c r="A45" s="43"/>
      <c r="B45" s="44" t="s">
        <v>115</v>
      </c>
      <c r="C45" s="54">
        <v>93.4</v>
      </c>
      <c r="D45" s="44"/>
      <c r="E45" s="120"/>
      <c r="F45" s="120"/>
      <c r="G45" s="61">
        <f t="shared" si="6"/>
        <v>93.4</v>
      </c>
      <c r="H45" s="120">
        <v>231792.37</v>
      </c>
      <c r="I45" s="120">
        <v>408.19</v>
      </c>
      <c r="J45" s="120"/>
      <c r="K45" s="120">
        <v>21068.07</v>
      </c>
      <c r="L45" s="124"/>
      <c r="M45" s="124"/>
      <c r="N45" s="124"/>
      <c r="O45" s="124">
        <v>100968</v>
      </c>
      <c r="P45" s="78"/>
      <c r="Q45" s="120">
        <f t="shared" si="7"/>
        <v>0</v>
      </c>
      <c r="R45" s="71"/>
      <c r="S45" s="71"/>
      <c r="T45" s="71"/>
      <c r="U45" s="71"/>
      <c r="V45" s="71"/>
      <c r="W45" s="104">
        <f t="shared" si="3"/>
        <v>925.5414687353893</v>
      </c>
      <c r="X45" s="104">
        <f t="shared" si="4"/>
        <v>545.416871694298</v>
      </c>
    </row>
    <row r="46" spans="1:24" ht="15" customHeight="1" hidden="1">
      <c r="A46" s="43"/>
      <c r="B46" s="44" t="s">
        <v>116</v>
      </c>
      <c r="C46" s="54">
        <v>146.8</v>
      </c>
      <c r="D46" s="44"/>
      <c r="E46" s="120"/>
      <c r="F46" s="120"/>
      <c r="G46" s="61">
        <f t="shared" si="6"/>
        <v>146.8</v>
      </c>
      <c r="H46" s="120">
        <v>364316.06</v>
      </c>
      <c r="I46" s="120">
        <v>423.38</v>
      </c>
      <c r="J46" s="120" t="s">
        <v>33</v>
      </c>
      <c r="K46" s="120">
        <v>21852.08</v>
      </c>
      <c r="L46" s="124"/>
      <c r="M46" s="124"/>
      <c r="N46" s="124"/>
      <c r="O46" s="124">
        <v>93896</v>
      </c>
      <c r="P46" s="78"/>
      <c r="Q46" s="120">
        <f t="shared" si="7"/>
        <v>0</v>
      </c>
      <c r="R46" s="71"/>
      <c r="S46" s="71"/>
      <c r="T46" s="71"/>
      <c r="U46" s="71"/>
      <c r="V46" s="71"/>
      <c r="W46" s="104">
        <f t="shared" si="3"/>
        <v>860.7146991955682</v>
      </c>
      <c r="X46" s="104">
        <f t="shared" si="4"/>
        <v>507.21478671071833</v>
      </c>
    </row>
    <row r="47" spans="1:24" ht="15" customHeight="1">
      <c r="A47" s="43"/>
      <c r="B47" s="118" t="s">
        <v>117</v>
      </c>
      <c r="C47" s="59">
        <f aca="true" t="shared" si="8" ref="C47:K47">C46+C45+C44+C43+C42+C41+C36+C35+C34+C33+C32+C31</f>
        <v>881.8</v>
      </c>
      <c r="D47" s="59">
        <f t="shared" si="8"/>
        <v>0</v>
      </c>
      <c r="E47" s="59">
        <f t="shared" si="8"/>
        <v>0</v>
      </c>
      <c r="F47" s="59">
        <f t="shared" si="8"/>
        <v>0</v>
      </c>
      <c r="G47" s="59">
        <f t="shared" si="8"/>
        <v>881.8</v>
      </c>
      <c r="H47" s="124">
        <f t="shared" si="8"/>
        <v>2135243.87</v>
      </c>
      <c r="I47" s="124">
        <f t="shared" si="8"/>
        <v>5630.27</v>
      </c>
      <c r="J47" s="124">
        <v>0</v>
      </c>
      <c r="K47" s="124">
        <f t="shared" si="8"/>
        <v>282523.43000000005</v>
      </c>
      <c r="L47" s="58"/>
      <c r="M47" s="58"/>
      <c r="N47" s="124"/>
      <c r="O47" s="79">
        <v>94480</v>
      </c>
      <c r="P47" s="78"/>
      <c r="Q47" s="58"/>
      <c r="R47" s="71"/>
      <c r="S47" s="71"/>
      <c r="T47" s="71"/>
      <c r="U47" s="71"/>
      <c r="V47" s="71"/>
      <c r="W47" s="104">
        <f t="shared" si="3"/>
        <v>866.0680410240828</v>
      </c>
      <c r="X47" s="104">
        <f t="shared" si="4"/>
        <v>510.369483773842</v>
      </c>
    </row>
    <row r="48" spans="1:24" ht="15" customHeight="1">
      <c r="A48" s="42">
        <v>3</v>
      </c>
      <c r="B48" s="221" t="s">
        <v>119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71"/>
      <c r="S48" s="71"/>
      <c r="T48" s="71" t="s">
        <v>79</v>
      </c>
      <c r="U48" s="71"/>
      <c r="V48" s="71"/>
      <c r="W48" s="104"/>
      <c r="X48" s="104"/>
    </row>
    <row r="49" spans="1:24" ht="15" customHeight="1" hidden="1">
      <c r="A49" s="43"/>
      <c r="B49" s="199" t="s">
        <v>80</v>
      </c>
      <c r="C49" s="199" t="s">
        <v>81</v>
      </c>
      <c r="D49" s="199"/>
      <c r="E49" s="199"/>
      <c r="F49" s="199"/>
      <c r="G49" s="199"/>
      <c r="H49" s="199"/>
      <c r="I49" s="118" t="s">
        <v>82</v>
      </c>
      <c r="J49" s="118" t="s">
        <v>83</v>
      </c>
      <c r="K49" s="118" t="s">
        <v>84</v>
      </c>
      <c r="L49" s="199" t="s">
        <v>85</v>
      </c>
      <c r="M49" s="199" t="s">
        <v>86</v>
      </c>
      <c r="N49" s="199" t="s">
        <v>87</v>
      </c>
      <c r="O49" s="199" t="s">
        <v>88</v>
      </c>
      <c r="P49" s="200" t="s">
        <v>89</v>
      </c>
      <c r="Q49" s="199" t="s">
        <v>90</v>
      </c>
      <c r="R49" s="71"/>
      <c r="S49" s="71"/>
      <c r="T49" s="74">
        <v>680895</v>
      </c>
      <c r="U49" s="71"/>
      <c r="V49" s="71"/>
      <c r="W49" s="104" t="e">
        <f t="shared" si="3"/>
        <v>#VALUE!</v>
      </c>
      <c r="X49" s="104" t="e">
        <f t="shared" si="4"/>
        <v>#VALUE!</v>
      </c>
    </row>
    <row r="50" spans="1:24" ht="15" customHeight="1" hidden="1">
      <c r="A50" s="43"/>
      <c r="B50" s="199"/>
      <c r="C50" s="199">
        <v>2022.64</v>
      </c>
      <c r="D50" s="199"/>
      <c r="E50" s="199"/>
      <c r="F50" s="199"/>
      <c r="G50" s="199"/>
      <c r="H50" s="199"/>
      <c r="I50" s="126">
        <v>25.35</v>
      </c>
      <c r="J50" s="126">
        <f>I50*1.18</f>
        <v>29.913</v>
      </c>
      <c r="K50" s="226">
        <f>29.913+19.14</f>
        <v>49.053</v>
      </c>
      <c r="L50" s="199"/>
      <c r="M50" s="199"/>
      <c r="N50" s="199"/>
      <c r="O50" s="199"/>
      <c r="P50" s="200"/>
      <c r="Q50" s="199"/>
      <c r="R50" s="71"/>
      <c r="S50" s="71"/>
      <c r="T50" s="74">
        <v>971874</v>
      </c>
      <c r="U50" s="71"/>
      <c r="V50" s="71"/>
      <c r="W50" s="104">
        <f t="shared" si="3"/>
        <v>0</v>
      </c>
      <c r="X50" s="104">
        <f t="shared" si="4"/>
        <v>0</v>
      </c>
    </row>
    <row r="51" spans="1:24" ht="15" customHeight="1" hidden="1">
      <c r="A51" s="43"/>
      <c r="B51" s="199"/>
      <c r="C51" s="199" t="s">
        <v>93</v>
      </c>
      <c r="D51" s="199"/>
      <c r="E51" s="199"/>
      <c r="F51" s="199"/>
      <c r="G51" s="199"/>
      <c r="H51" s="199"/>
      <c r="I51" s="118" t="s">
        <v>94</v>
      </c>
      <c r="J51" s="118" t="s">
        <v>83</v>
      </c>
      <c r="K51" s="226"/>
      <c r="L51" s="199"/>
      <c r="M51" s="199"/>
      <c r="N51" s="199"/>
      <c r="O51" s="199"/>
      <c r="P51" s="200"/>
      <c r="Q51" s="199"/>
      <c r="R51" s="71"/>
      <c r="S51" s="71"/>
      <c r="T51" s="71"/>
      <c r="U51" s="71"/>
      <c r="V51" s="71"/>
      <c r="W51" s="104">
        <f t="shared" si="3"/>
        <v>0</v>
      </c>
      <c r="X51" s="104">
        <f t="shared" si="4"/>
        <v>0</v>
      </c>
    </row>
    <row r="52" spans="1:24" ht="15" customHeight="1" hidden="1">
      <c r="A52" s="43"/>
      <c r="B52" s="199"/>
      <c r="C52" s="207">
        <f>C50*1.18</f>
        <v>2386.7152</v>
      </c>
      <c r="D52" s="207"/>
      <c r="E52" s="207"/>
      <c r="F52" s="207"/>
      <c r="G52" s="207"/>
      <c r="H52" s="207"/>
      <c r="I52" s="126">
        <v>16.22</v>
      </c>
      <c r="J52" s="126">
        <f>I52*1.18</f>
        <v>19.139599999999998</v>
      </c>
      <c r="K52" s="226"/>
      <c r="L52" s="199"/>
      <c r="M52" s="199"/>
      <c r="N52" s="199"/>
      <c r="O52" s="199"/>
      <c r="P52" s="200"/>
      <c r="Q52" s="199"/>
      <c r="R52" s="71"/>
      <c r="S52" s="71"/>
      <c r="T52" s="71" t="s">
        <v>95</v>
      </c>
      <c r="U52" s="71"/>
      <c r="V52" s="71"/>
      <c r="W52" s="104">
        <f t="shared" si="3"/>
        <v>0</v>
      </c>
      <c r="X52" s="104">
        <f t="shared" si="4"/>
        <v>0</v>
      </c>
    </row>
    <row r="53" spans="1:24" ht="45" customHeight="1" hidden="1">
      <c r="A53" s="43"/>
      <c r="B53" s="118" t="s">
        <v>96</v>
      </c>
      <c r="C53" s="118" t="s">
        <v>97</v>
      </c>
      <c r="D53" s="118" t="s">
        <v>98</v>
      </c>
      <c r="E53" s="118" t="s">
        <v>99</v>
      </c>
      <c r="F53" s="118" t="s">
        <v>100</v>
      </c>
      <c r="G53" s="118" t="s">
        <v>101</v>
      </c>
      <c r="H53" s="118" t="s">
        <v>90</v>
      </c>
      <c r="I53" s="118" t="s">
        <v>171</v>
      </c>
      <c r="J53" s="118" t="s">
        <v>102</v>
      </c>
      <c r="K53" s="118" t="s">
        <v>90</v>
      </c>
      <c r="L53" s="199"/>
      <c r="M53" s="199"/>
      <c r="N53" s="199"/>
      <c r="O53" s="199"/>
      <c r="P53" s="200"/>
      <c r="Q53" s="199"/>
      <c r="R53" s="71"/>
      <c r="S53" s="71"/>
      <c r="T53" s="71"/>
      <c r="U53" s="71"/>
      <c r="V53" s="71"/>
      <c r="W53" s="104">
        <f t="shared" si="3"/>
        <v>0</v>
      </c>
      <c r="X53" s="104">
        <f t="shared" si="4"/>
        <v>0</v>
      </c>
    </row>
    <row r="54" spans="1:24" ht="15" customHeight="1" hidden="1">
      <c r="A54" s="43"/>
      <c r="B54" s="118" t="s">
        <v>103</v>
      </c>
      <c r="C54" s="75">
        <v>313.21</v>
      </c>
      <c r="D54" s="118"/>
      <c r="E54" s="126"/>
      <c r="F54" s="75"/>
      <c r="G54" s="75">
        <f>D54+C54</f>
        <v>313.21</v>
      </c>
      <c r="H54" s="58">
        <v>747543.07</v>
      </c>
      <c r="I54" s="124"/>
      <c r="J54" s="124"/>
      <c r="K54" s="124"/>
      <c r="L54" s="120"/>
      <c r="M54" s="120"/>
      <c r="N54" s="120"/>
      <c r="O54" s="120">
        <v>156600</v>
      </c>
      <c r="P54" s="125">
        <v>3.77026</v>
      </c>
      <c r="Q54" s="120">
        <f aca="true" t="shared" si="9" ref="Q54:Q59">P54*O54</f>
        <v>590422.716</v>
      </c>
      <c r="R54" s="71"/>
      <c r="S54" s="71"/>
      <c r="T54" s="71"/>
      <c r="U54" s="71"/>
      <c r="V54" s="71"/>
      <c r="W54" s="104">
        <f t="shared" si="3"/>
        <v>1435.5022779886892</v>
      </c>
      <c r="X54" s="104">
        <f t="shared" si="4"/>
        <v>845.9341782280235</v>
      </c>
    </row>
    <row r="55" spans="1:24" ht="15" customHeight="1" hidden="1">
      <c r="A55" s="43"/>
      <c r="B55" s="44" t="s">
        <v>104</v>
      </c>
      <c r="C55" s="54">
        <v>224.51</v>
      </c>
      <c r="D55" s="44"/>
      <c r="E55" s="44"/>
      <c r="F55" s="44"/>
      <c r="G55" s="62">
        <f>D55+C55</f>
        <v>224.51</v>
      </c>
      <c r="H55" s="44">
        <v>583575.75</v>
      </c>
      <c r="I55" s="124"/>
      <c r="J55" s="124"/>
      <c r="K55" s="124"/>
      <c r="L55" s="124"/>
      <c r="M55" s="124"/>
      <c r="N55" s="124"/>
      <c r="O55" s="120">
        <v>186600</v>
      </c>
      <c r="P55" s="125">
        <v>3.94348</v>
      </c>
      <c r="Q55" s="120">
        <f t="shared" si="9"/>
        <v>735853.368</v>
      </c>
      <c r="R55" s="71"/>
      <c r="S55" s="71"/>
      <c r="T55" s="71"/>
      <c r="U55" s="71"/>
      <c r="V55" s="71"/>
      <c r="W55" s="104">
        <f t="shared" si="3"/>
        <v>1710.50271438499</v>
      </c>
      <c r="X55" s="104">
        <f t="shared" si="4"/>
        <v>1007.9905342104034</v>
      </c>
    </row>
    <row r="56" spans="1:24" ht="15" customHeight="1" hidden="1">
      <c r="A56" s="43"/>
      <c r="B56" s="44" t="s">
        <v>105</v>
      </c>
      <c r="C56" s="54">
        <v>250.88</v>
      </c>
      <c r="D56" s="44"/>
      <c r="E56" s="44"/>
      <c r="F56" s="44"/>
      <c r="G56" s="62">
        <f>D56+C56</f>
        <v>250.88</v>
      </c>
      <c r="H56" s="44">
        <v>598779.11</v>
      </c>
      <c r="I56" s="124"/>
      <c r="J56" s="124"/>
      <c r="K56" s="124"/>
      <c r="L56" s="124"/>
      <c r="M56" s="124"/>
      <c r="N56" s="124"/>
      <c r="O56" s="120">
        <v>158100</v>
      </c>
      <c r="P56" s="125">
        <v>3.92864</v>
      </c>
      <c r="Q56" s="120">
        <f t="shared" si="9"/>
        <v>621117.984</v>
      </c>
      <c r="R56" s="71"/>
      <c r="S56" s="71"/>
      <c r="T56" s="71"/>
      <c r="U56" s="71"/>
      <c r="V56" s="71"/>
      <c r="W56" s="104">
        <f t="shared" si="3"/>
        <v>1449.2522998085044</v>
      </c>
      <c r="X56" s="104">
        <f t="shared" si="4"/>
        <v>854.0369960271424</v>
      </c>
    </row>
    <row r="57" spans="1:24" ht="15" customHeight="1" hidden="1">
      <c r="A57" s="43"/>
      <c r="B57" s="44" t="s">
        <v>106</v>
      </c>
      <c r="C57" s="54">
        <v>154.48</v>
      </c>
      <c r="D57" s="44"/>
      <c r="E57" s="44"/>
      <c r="F57" s="44"/>
      <c r="G57" s="62">
        <f>D57+C57</f>
        <v>154.48</v>
      </c>
      <c r="H57" s="44">
        <v>368700.39</v>
      </c>
      <c r="I57" s="124"/>
      <c r="J57" s="124"/>
      <c r="K57" s="124"/>
      <c r="L57" s="124"/>
      <c r="M57" s="124"/>
      <c r="N57" s="124"/>
      <c r="O57" s="120">
        <v>147900</v>
      </c>
      <c r="P57" s="125">
        <v>3.84733</v>
      </c>
      <c r="Q57" s="120">
        <f t="shared" si="9"/>
        <v>569020.107</v>
      </c>
      <c r="R57" s="71"/>
      <c r="S57" s="71"/>
      <c r="T57" s="71"/>
      <c r="U57" s="71"/>
      <c r="V57" s="71"/>
      <c r="W57" s="104">
        <f t="shared" si="3"/>
        <v>1355.752151433762</v>
      </c>
      <c r="X57" s="104">
        <f t="shared" si="4"/>
        <v>798.9378349931333</v>
      </c>
    </row>
    <row r="58" spans="1:24" ht="15" customHeight="1" hidden="1">
      <c r="A58" s="43"/>
      <c r="B58" s="118" t="s">
        <v>107</v>
      </c>
      <c r="C58" s="77"/>
      <c r="D58" s="118"/>
      <c r="E58" s="118"/>
      <c r="F58" s="118"/>
      <c r="G58" s="118"/>
      <c r="H58" s="118"/>
      <c r="I58" s="124"/>
      <c r="J58" s="124"/>
      <c r="K58" s="124"/>
      <c r="L58" s="124"/>
      <c r="M58" s="124"/>
      <c r="N58" s="124"/>
      <c r="O58" s="120">
        <v>120600</v>
      </c>
      <c r="P58" s="125">
        <v>3.93847</v>
      </c>
      <c r="Q58" s="120">
        <f t="shared" si="9"/>
        <v>474979.482</v>
      </c>
      <c r="R58" s="71"/>
      <c r="S58" s="71"/>
      <c r="T58" s="71"/>
      <c r="U58" s="71"/>
      <c r="V58" s="71"/>
      <c r="W58" s="104">
        <f t="shared" si="3"/>
        <v>1105.5017543131285</v>
      </c>
      <c r="X58" s="104">
        <f t="shared" si="4"/>
        <v>651.4665510491675</v>
      </c>
    </row>
    <row r="59" spans="1:24" ht="15" customHeight="1" hidden="1">
      <c r="A59" s="43"/>
      <c r="B59" s="118" t="s">
        <v>108</v>
      </c>
      <c r="C59" s="77"/>
      <c r="D59" s="118"/>
      <c r="E59" s="118"/>
      <c r="F59" s="118"/>
      <c r="G59" s="118"/>
      <c r="H59" s="118"/>
      <c r="I59" s="124"/>
      <c r="J59" s="124"/>
      <c r="K59" s="124"/>
      <c r="L59" s="124"/>
      <c r="M59" s="124"/>
      <c r="N59" s="124"/>
      <c r="O59" s="120">
        <v>140100</v>
      </c>
      <c r="P59" s="125">
        <v>3.97841</v>
      </c>
      <c r="Q59" s="120">
        <f t="shared" si="9"/>
        <v>557375.2409999999</v>
      </c>
      <c r="R59" s="71"/>
      <c r="S59" s="71"/>
      <c r="T59" s="71"/>
      <c r="U59" s="71"/>
      <c r="V59" s="71"/>
      <c r="W59" s="104">
        <f t="shared" si="3"/>
        <v>1284.252037970724</v>
      </c>
      <c r="X59" s="104">
        <f t="shared" si="4"/>
        <v>756.8031824377144</v>
      </c>
    </row>
    <row r="60" spans="1:24" ht="15" customHeight="1" hidden="1">
      <c r="A60" s="43"/>
      <c r="B60" s="220" t="s">
        <v>109</v>
      </c>
      <c r="C60" s="220" t="s">
        <v>81</v>
      </c>
      <c r="D60" s="220"/>
      <c r="E60" s="220"/>
      <c r="F60" s="220"/>
      <c r="G60" s="220"/>
      <c r="H60" s="220"/>
      <c r="I60" s="118" t="s">
        <v>82</v>
      </c>
      <c r="J60" s="118" t="s">
        <v>83</v>
      </c>
      <c r="K60" s="118" t="s">
        <v>84</v>
      </c>
      <c r="L60" s="199"/>
      <c r="M60" s="199"/>
      <c r="N60" s="228"/>
      <c r="O60" s="228"/>
      <c r="P60" s="229"/>
      <c r="Q60" s="199"/>
      <c r="R60" s="71"/>
      <c r="S60" s="71"/>
      <c r="T60" s="71"/>
      <c r="U60" s="71"/>
      <c r="V60" s="71"/>
      <c r="W60" s="104">
        <f t="shared" si="3"/>
        <v>0</v>
      </c>
      <c r="X60" s="104">
        <f t="shared" si="4"/>
        <v>0</v>
      </c>
    </row>
    <row r="61" spans="1:24" ht="15" customHeight="1" hidden="1">
      <c r="A61" s="43"/>
      <c r="B61" s="220"/>
      <c r="C61" s="220">
        <v>2103.15</v>
      </c>
      <c r="D61" s="220"/>
      <c r="E61" s="220"/>
      <c r="F61" s="220"/>
      <c r="G61" s="220"/>
      <c r="H61" s="220"/>
      <c r="I61" s="126">
        <v>26.61</v>
      </c>
      <c r="J61" s="126">
        <f>I61*1.18</f>
        <v>31.3998</v>
      </c>
      <c r="K61" s="226">
        <f>J63+J61</f>
        <v>51.61319999999999</v>
      </c>
      <c r="L61" s="199"/>
      <c r="M61" s="199"/>
      <c r="N61" s="228"/>
      <c r="O61" s="228"/>
      <c r="P61" s="229"/>
      <c r="Q61" s="199"/>
      <c r="R61" s="71"/>
      <c r="S61" s="71"/>
      <c r="T61" s="71"/>
      <c r="U61" s="71"/>
      <c r="V61" s="71"/>
      <c r="W61" s="104">
        <f t="shared" si="3"/>
        <v>0</v>
      </c>
      <c r="X61" s="104">
        <f t="shared" si="4"/>
        <v>0</v>
      </c>
    </row>
    <row r="62" spans="1:24" ht="15" customHeight="1" hidden="1">
      <c r="A62" s="43"/>
      <c r="B62" s="220"/>
      <c r="C62" s="220" t="s">
        <v>93</v>
      </c>
      <c r="D62" s="220"/>
      <c r="E62" s="220"/>
      <c r="F62" s="220"/>
      <c r="G62" s="220"/>
      <c r="H62" s="220"/>
      <c r="I62" s="118" t="s">
        <v>110</v>
      </c>
      <c r="J62" s="118" t="s">
        <v>83</v>
      </c>
      <c r="K62" s="226"/>
      <c r="L62" s="199"/>
      <c r="M62" s="199"/>
      <c r="N62" s="228"/>
      <c r="O62" s="228"/>
      <c r="P62" s="229"/>
      <c r="Q62" s="199"/>
      <c r="R62" s="71"/>
      <c r="S62" s="71"/>
      <c r="T62" s="71"/>
      <c r="U62" s="71"/>
      <c r="V62" s="71"/>
      <c r="W62" s="104">
        <f t="shared" si="3"/>
        <v>0</v>
      </c>
      <c r="X62" s="104">
        <f t="shared" si="4"/>
        <v>0</v>
      </c>
    </row>
    <row r="63" spans="1:24" ht="15" customHeight="1" hidden="1">
      <c r="A63" s="43"/>
      <c r="B63" s="220"/>
      <c r="C63" s="225">
        <f>C61*1.18</f>
        <v>2481.717</v>
      </c>
      <c r="D63" s="225"/>
      <c r="E63" s="225"/>
      <c r="F63" s="225"/>
      <c r="G63" s="225"/>
      <c r="H63" s="225"/>
      <c r="I63" s="126">
        <v>17.13</v>
      </c>
      <c r="J63" s="126">
        <f>I63*1.18</f>
        <v>20.213399999999996</v>
      </c>
      <c r="K63" s="226"/>
      <c r="L63" s="199"/>
      <c r="M63" s="199"/>
      <c r="N63" s="228"/>
      <c r="O63" s="228"/>
      <c r="P63" s="229"/>
      <c r="Q63" s="199"/>
      <c r="R63" s="71"/>
      <c r="S63" s="71"/>
      <c r="T63" s="71"/>
      <c r="U63" s="71"/>
      <c r="V63" s="71"/>
      <c r="W63" s="104">
        <f t="shared" si="3"/>
        <v>0</v>
      </c>
      <c r="X63" s="104">
        <f t="shared" si="4"/>
        <v>0</v>
      </c>
    </row>
    <row r="64" spans="1:24" ht="15" customHeight="1" hidden="1">
      <c r="A64" s="43"/>
      <c r="B64" s="118" t="s">
        <v>111</v>
      </c>
      <c r="C64" s="118"/>
      <c r="D64" s="118"/>
      <c r="E64" s="124"/>
      <c r="F64" s="58"/>
      <c r="G64" s="124">
        <f aca="true" t="shared" si="10" ref="G64:G69">F64+E64+D64+C64</f>
        <v>0</v>
      </c>
      <c r="H64" s="58"/>
      <c r="I64" s="124"/>
      <c r="J64" s="124"/>
      <c r="K64" s="124"/>
      <c r="L64" s="124"/>
      <c r="M64" s="124"/>
      <c r="N64" s="58"/>
      <c r="O64" s="60">
        <v>120000</v>
      </c>
      <c r="P64" s="125">
        <v>4.59379</v>
      </c>
      <c r="Q64" s="120">
        <f aca="true" t="shared" si="11" ref="Q64:Q69">P64*O64</f>
        <v>551254.8</v>
      </c>
      <c r="R64" s="71"/>
      <c r="S64" s="71"/>
      <c r="T64" s="71"/>
      <c r="U64" s="71"/>
      <c r="V64" s="71"/>
      <c r="W64" s="104">
        <f t="shared" si="3"/>
        <v>1100.0017455852026</v>
      </c>
      <c r="X64" s="104">
        <f t="shared" si="4"/>
        <v>648.2254239295198</v>
      </c>
    </row>
    <row r="65" spans="1:24" ht="15" customHeight="1" hidden="1">
      <c r="A65" s="43"/>
      <c r="B65" s="118" t="s">
        <v>112</v>
      </c>
      <c r="C65" s="118"/>
      <c r="D65" s="118"/>
      <c r="E65" s="58"/>
      <c r="F65" s="58"/>
      <c r="G65" s="124">
        <f t="shared" si="10"/>
        <v>0</v>
      </c>
      <c r="H65" s="58"/>
      <c r="I65" s="124"/>
      <c r="J65" s="124"/>
      <c r="K65" s="124"/>
      <c r="L65" s="124"/>
      <c r="M65" s="124"/>
      <c r="N65" s="58"/>
      <c r="O65" s="60">
        <v>108000</v>
      </c>
      <c r="P65" s="125">
        <v>4.67442</v>
      </c>
      <c r="Q65" s="120">
        <f t="shared" si="11"/>
        <v>504837.3599999999</v>
      </c>
      <c r="R65" s="71"/>
      <c r="S65" s="71"/>
      <c r="T65" s="71"/>
      <c r="U65" s="71"/>
      <c r="V65" s="71"/>
      <c r="W65" s="104">
        <f t="shared" si="3"/>
        <v>990.0015710266822</v>
      </c>
      <c r="X65" s="104">
        <f t="shared" si="4"/>
        <v>583.4028815365679</v>
      </c>
    </row>
    <row r="66" spans="1:24" ht="15" customHeight="1" hidden="1">
      <c r="A66" s="43"/>
      <c r="B66" s="118" t="s">
        <v>113</v>
      </c>
      <c r="C66" s="118"/>
      <c r="D66" s="118"/>
      <c r="E66" s="58"/>
      <c r="F66" s="58"/>
      <c r="G66" s="124">
        <f t="shared" si="10"/>
        <v>0</v>
      </c>
      <c r="H66" s="58"/>
      <c r="I66" s="124"/>
      <c r="J66" s="124"/>
      <c r="K66" s="124"/>
      <c r="L66" s="124"/>
      <c r="M66" s="124"/>
      <c r="N66" s="58"/>
      <c r="O66" s="60">
        <v>135000</v>
      </c>
      <c r="P66" s="125">
        <v>4.28833</v>
      </c>
      <c r="Q66" s="120">
        <f t="shared" si="11"/>
        <v>578924.55</v>
      </c>
      <c r="R66" s="71"/>
      <c r="S66" s="71"/>
      <c r="T66" s="71"/>
      <c r="U66" s="71"/>
      <c r="V66" s="71"/>
      <c r="W66" s="104">
        <f t="shared" si="3"/>
        <v>1237.501963783353</v>
      </c>
      <c r="X66" s="104">
        <f t="shared" si="4"/>
        <v>729.2536019207099</v>
      </c>
    </row>
    <row r="67" spans="1:24" ht="15" customHeight="1" hidden="1">
      <c r="A67" s="43"/>
      <c r="B67" s="44" t="s">
        <v>114</v>
      </c>
      <c r="C67" s="54">
        <v>44.5</v>
      </c>
      <c r="D67" s="44"/>
      <c r="E67" s="60"/>
      <c r="F67" s="60"/>
      <c r="G67" s="120">
        <f t="shared" si="10"/>
        <v>44.5</v>
      </c>
      <c r="H67" s="60">
        <v>110436.41</v>
      </c>
      <c r="I67" s="58"/>
      <c r="J67" s="124"/>
      <c r="K67" s="124"/>
      <c r="L67" s="124"/>
      <c r="M67" s="124"/>
      <c r="N67" s="58"/>
      <c r="O67" s="60">
        <v>174600</v>
      </c>
      <c r="P67" s="125">
        <v>4.23582</v>
      </c>
      <c r="Q67" s="120">
        <f t="shared" si="11"/>
        <v>739574.172</v>
      </c>
      <c r="R67" s="71"/>
      <c r="S67" s="71"/>
      <c r="T67" s="71"/>
      <c r="U67" s="71"/>
      <c r="V67" s="71"/>
      <c r="W67" s="104">
        <f t="shared" si="3"/>
        <v>1600.5025398264697</v>
      </c>
      <c r="X67" s="104">
        <f t="shared" si="4"/>
        <v>943.1679918174514</v>
      </c>
    </row>
    <row r="68" spans="1:24" ht="15" customHeight="1" hidden="1">
      <c r="A68" s="43"/>
      <c r="B68" s="44" t="s">
        <v>115</v>
      </c>
      <c r="C68" s="54">
        <v>177.34</v>
      </c>
      <c r="D68" s="44"/>
      <c r="E68" s="120"/>
      <c r="F68" s="120"/>
      <c r="G68" s="120">
        <f t="shared" si="10"/>
        <v>177.34</v>
      </c>
      <c r="H68" s="120">
        <v>440107.69</v>
      </c>
      <c r="I68" s="124"/>
      <c r="J68" s="124"/>
      <c r="K68" s="124"/>
      <c r="L68" s="124"/>
      <c r="M68" s="124"/>
      <c r="N68" s="124"/>
      <c r="O68" s="124">
        <v>135000</v>
      </c>
      <c r="P68" s="78"/>
      <c r="Q68" s="120">
        <f t="shared" si="11"/>
        <v>0</v>
      </c>
      <c r="R68" s="71"/>
      <c r="S68" s="71"/>
      <c r="T68" s="71"/>
      <c r="U68" s="71"/>
      <c r="V68" s="71"/>
      <c r="W68" s="104">
        <f t="shared" si="3"/>
        <v>1237.501963783353</v>
      </c>
      <c r="X68" s="104">
        <f t="shared" si="4"/>
        <v>729.2536019207099</v>
      </c>
    </row>
    <row r="69" spans="1:24" ht="15" customHeight="1" hidden="1">
      <c r="A69" s="43"/>
      <c r="B69" s="44" t="s">
        <v>116</v>
      </c>
      <c r="C69" s="54">
        <v>257.8</v>
      </c>
      <c r="D69" s="44"/>
      <c r="E69" s="120"/>
      <c r="F69" s="120"/>
      <c r="G69" s="120">
        <f t="shared" si="10"/>
        <v>257.8</v>
      </c>
      <c r="H69" s="120">
        <v>639786.64</v>
      </c>
      <c r="I69" s="124"/>
      <c r="J69" s="124"/>
      <c r="K69" s="124"/>
      <c r="L69" s="124"/>
      <c r="M69" s="124"/>
      <c r="N69" s="124"/>
      <c r="O69" s="124">
        <v>168000</v>
      </c>
      <c r="P69" s="78"/>
      <c r="Q69" s="120">
        <f t="shared" si="11"/>
        <v>0</v>
      </c>
      <c r="R69" s="71"/>
      <c r="S69" s="71"/>
      <c r="T69" s="71"/>
      <c r="U69" s="71"/>
      <c r="V69" s="71"/>
      <c r="W69" s="104">
        <f t="shared" si="3"/>
        <v>1540.0024438192836</v>
      </c>
      <c r="X69" s="104">
        <f t="shared" si="4"/>
        <v>907.5155935013278</v>
      </c>
    </row>
    <row r="70" spans="1:24" ht="15" customHeight="1">
      <c r="A70" s="43"/>
      <c r="B70" s="118" t="s">
        <v>117</v>
      </c>
      <c r="C70" s="59">
        <f aca="true" t="shared" si="12" ref="C70:K70">C69+C68+C67+C66+C65+C64+C59+C58+C57+C56+C55+C54</f>
        <v>1422.72</v>
      </c>
      <c r="D70" s="59">
        <f t="shared" si="12"/>
        <v>0</v>
      </c>
      <c r="E70" s="59">
        <f t="shared" si="12"/>
        <v>0</v>
      </c>
      <c r="F70" s="59">
        <f t="shared" si="12"/>
        <v>0</v>
      </c>
      <c r="G70" s="59">
        <f t="shared" si="12"/>
        <v>1422.72</v>
      </c>
      <c r="H70" s="124">
        <f>H69+H68+H67+H66+H65+H64+H59+H58+H57+H56+H55+H54</f>
        <v>3488929.0599999996</v>
      </c>
      <c r="I70" s="124">
        <f t="shared" si="12"/>
        <v>0</v>
      </c>
      <c r="J70" s="124">
        <f t="shared" si="12"/>
        <v>0</v>
      </c>
      <c r="K70" s="124">
        <f t="shared" si="12"/>
        <v>0</v>
      </c>
      <c r="L70" s="58"/>
      <c r="M70" s="58"/>
      <c r="N70" s="124"/>
      <c r="O70" s="79">
        <v>139500</v>
      </c>
      <c r="P70" s="78"/>
      <c r="Q70" s="58"/>
      <c r="R70" s="71"/>
      <c r="S70" s="71"/>
      <c r="T70" s="71"/>
      <c r="U70" s="71"/>
      <c r="V70" s="71"/>
      <c r="W70" s="104">
        <f t="shared" si="3"/>
        <v>1278.752029242798</v>
      </c>
      <c r="X70" s="104">
        <f t="shared" si="4"/>
        <v>753.5620553180669</v>
      </c>
    </row>
    <row r="71" spans="1:24" ht="15" customHeight="1">
      <c r="A71" s="42">
        <v>4</v>
      </c>
      <c r="B71" s="227" t="s">
        <v>120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71"/>
      <c r="S71" s="71"/>
      <c r="T71" s="71" t="s">
        <v>79</v>
      </c>
      <c r="U71" s="71"/>
      <c r="V71" s="71"/>
      <c r="W71" s="104"/>
      <c r="X71" s="104"/>
    </row>
    <row r="72" spans="1:24" ht="15" customHeight="1" hidden="1">
      <c r="A72" s="43"/>
      <c r="B72" s="199" t="s">
        <v>80</v>
      </c>
      <c r="C72" s="199" t="s">
        <v>81</v>
      </c>
      <c r="D72" s="199"/>
      <c r="E72" s="199"/>
      <c r="F72" s="199"/>
      <c r="G72" s="199"/>
      <c r="H72" s="199"/>
      <c r="I72" s="118" t="s">
        <v>82</v>
      </c>
      <c r="J72" s="118" t="s">
        <v>83</v>
      </c>
      <c r="K72" s="118" t="s">
        <v>84</v>
      </c>
      <c r="L72" s="199" t="s">
        <v>85</v>
      </c>
      <c r="M72" s="199" t="s">
        <v>86</v>
      </c>
      <c r="N72" s="199" t="s">
        <v>87</v>
      </c>
      <c r="O72" s="199" t="s">
        <v>88</v>
      </c>
      <c r="P72" s="200" t="s">
        <v>89</v>
      </c>
      <c r="Q72" s="199" t="s">
        <v>90</v>
      </c>
      <c r="R72" s="71"/>
      <c r="S72" s="71"/>
      <c r="T72" s="74">
        <v>29317308</v>
      </c>
      <c r="U72" s="71"/>
      <c r="V72" s="71"/>
      <c r="W72" s="104" t="e">
        <f t="shared" si="3"/>
        <v>#VALUE!</v>
      </c>
      <c r="X72" s="104" t="e">
        <f t="shared" si="4"/>
        <v>#VALUE!</v>
      </c>
    </row>
    <row r="73" spans="1:24" ht="15" customHeight="1" hidden="1">
      <c r="A73" s="43"/>
      <c r="B73" s="199"/>
      <c r="C73" s="199">
        <v>2022.64</v>
      </c>
      <c r="D73" s="199"/>
      <c r="E73" s="199"/>
      <c r="F73" s="199"/>
      <c r="G73" s="199"/>
      <c r="H73" s="199"/>
      <c r="I73" s="126">
        <v>25.35</v>
      </c>
      <c r="J73" s="126">
        <f>I73*1.18</f>
        <v>29.913</v>
      </c>
      <c r="K73" s="226">
        <f>29.913+19.14</f>
        <v>49.053</v>
      </c>
      <c r="L73" s="199"/>
      <c r="M73" s="199"/>
      <c r="N73" s="199"/>
      <c r="O73" s="199"/>
      <c r="P73" s="200"/>
      <c r="Q73" s="199"/>
      <c r="R73" s="71"/>
      <c r="S73" s="71"/>
      <c r="T73" s="71"/>
      <c r="U73" s="71"/>
      <c r="V73" s="71"/>
      <c r="W73" s="104">
        <f t="shared" si="3"/>
        <v>0</v>
      </c>
      <c r="X73" s="104">
        <f t="shared" si="4"/>
        <v>0</v>
      </c>
    </row>
    <row r="74" spans="1:24" ht="15" customHeight="1" hidden="1">
      <c r="A74" s="43"/>
      <c r="B74" s="199"/>
      <c r="C74" s="199" t="s">
        <v>93</v>
      </c>
      <c r="D74" s="199"/>
      <c r="E74" s="199"/>
      <c r="F74" s="199"/>
      <c r="G74" s="199"/>
      <c r="H74" s="199"/>
      <c r="I74" s="118" t="s">
        <v>94</v>
      </c>
      <c r="J74" s="118" t="s">
        <v>83</v>
      </c>
      <c r="K74" s="226"/>
      <c r="L74" s="199"/>
      <c r="M74" s="199"/>
      <c r="N74" s="199"/>
      <c r="O74" s="199"/>
      <c r="P74" s="200"/>
      <c r="Q74" s="199"/>
      <c r="R74" s="71"/>
      <c r="S74" s="71"/>
      <c r="T74" s="71"/>
      <c r="U74" s="71"/>
      <c r="V74" s="71"/>
      <c r="W74" s="104">
        <f t="shared" si="3"/>
        <v>0</v>
      </c>
      <c r="X74" s="104">
        <f t="shared" si="4"/>
        <v>0</v>
      </c>
    </row>
    <row r="75" spans="1:24" ht="15" customHeight="1" hidden="1">
      <c r="A75" s="43"/>
      <c r="B75" s="199"/>
      <c r="C75" s="207">
        <f>C73*1.18</f>
        <v>2386.7152</v>
      </c>
      <c r="D75" s="207"/>
      <c r="E75" s="207"/>
      <c r="F75" s="207"/>
      <c r="G75" s="207"/>
      <c r="H75" s="207"/>
      <c r="I75" s="126">
        <v>16.22</v>
      </c>
      <c r="J75" s="126">
        <f>I75*1.18</f>
        <v>19.139599999999998</v>
      </c>
      <c r="K75" s="226"/>
      <c r="L75" s="199"/>
      <c r="M75" s="199"/>
      <c r="N75" s="199"/>
      <c r="O75" s="199"/>
      <c r="P75" s="200"/>
      <c r="Q75" s="199"/>
      <c r="R75" s="71"/>
      <c r="S75" s="71"/>
      <c r="T75" s="71" t="s">
        <v>95</v>
      </c>
      <c r="U75" s="71"/>
      <c r="V75" s="71"/>
      <c r="W75" s="104">
        <f t="shared" si="3"/>
        <v>0</v>
      </c>
      <c r="X75" s="104">
        <f t="shared" si="4"/>
        <v>0</v>
      </c>
    </row>
    <row r="76" spans="1:24" ht="45" customHeight="1" hidden="1">
      <c r="A76" s="43"/>
      <c r="B76" s="118" t="s">
        <v>96</v>
      </c>
      <c r="C76" s="118" t="s">
        <v>97</v>
      </c>
      <c r="D76" s="118" t="s">
        <v>98</v>
      </c>
      <c r="E76" s="118" t="s">
        <v>99</v>
      </c>
      <c r="F76" s="118" t="s">
        <v>100</v>
      </c>
      <c r="G76" s="118" t="s">
        <v>101</v>
      </c>
      <c r="H76" s="118" t="s">
        <v>90</v>
      </c>
      <c r="I76" s="118" t="s">
        <v>171</v>
      </c>
      <c r="J76" s="118" t="s">
        <v>102</v>
      </c>
      <c r="K76" s="118" t="s">
        <v>90</v>
      </c>
      <c r="L76" s="199"/>
      <c r="M76" s="199"/>
      <c r="N76" s="199"/>
      <c r="O76" s="199"/>
      <c r="P76" s="200"/>
      <c r="Q76" s="199"/>
      <c r="R76" s="71"/>
      <c r="S76" s="71"/>
      <c r="T76" s="71"/>
      <c r="U76" s="71"/>
      <c r="V76" s="71"/>
      <c r="W76" s="104">
        <f t="shared" si="3"/>
        <v>0</v>
      </c>
      <c r="X76" s="104">
        <f t="shared" si="4"/>
        <v>0</v>
      </c>
    </row>
    <row r="77" spans="1:24" ht="15" customHeight="1" hidden="1">
      <c r="A77" s="43"/>
      <c r="B77" s="44" t="s">
        <v>103</v>
      </c>
      <c r="C77" s="62">
        <v>78.9</v>
      </c>
      <c r="D77" s="44"/>
      <c r="E77" s="80"/>
      <c r="F77" s="62"/>
      <c r="G77" s="62">
        <f>D77+C77</f>
        <v>78.9</v>
      </c>
      <c r="H77" s="60">
        <v>188311.83</v>
      </c>
      <c r="I77" s="120">
        <v>267.53</v>
      </c>
      <c r="J77" s="120"/>
      <c r="K77" s="120">
        <v>13122.03</v>
      </c>
      <c r="L77" s="120"/>
      <c r="M77" s="120"/>
      <c r="N77" s="120"/>
      <c r="O77" s="120">
        <v>24246</v>
      </c>
      <c r="P77" s="125">
        <v>3.77026</v>
      </c>
      <c r="Q77" s="120">
        <f aca="true" t="shared" si="13" ref="Q77:Q82">P77*O77</f>
        <v>91413.72396</v>
      </c>
      <c r="R77" s="71"/>
      <c r="S77" s="71"/>
      <c r="T77" s="71"/>
      <c r="U77" s="71"/>
      <c r="V77" s="71"/>
      <c r="W77" s="104">
        <f t="shared" si="3"/>
        <v>222.2553526954902</v>
      </c>
      <c r="X77" s="104">
        <f t="shared" si="4"/>
        <v>130.9739469049595</v>
      </c>
    </row>
    <row r="78" spans="1:24" ht="15" customHeight="1" hidden="1">
      <c r="A78" s="43"/>
      <c r="B78" s="44" t="s">
        <v>104</v>
      </c>
      <c r="C78" s="54">
        <v>58.3</v>
      </c>
      <c r="D78" s="44"/>
      <c r="E78" s="44"/>
      <c r="F78" s="44"/>
      <c r="G78" s="62">
        <f>D78+C78</f>
        <v>58.3</v>
      </c>
      <c r="H78" s="63">
        <v>139145.5</v>
      </c>
      <c r="I78" s="120">
        <v>236.63</v>
      </c>
      <c r="J78" s="120"/>
      <c r="K78" s="120">
        <v>11606.42</v>
      </c>
      <c r="L78" s="124"/>
      <c r="M78" s="124"/>
      <c r="N78" s="124"/>
      <c r="O78" s="120">
        <v>21282</v>
      </c>
      <c r="P78" s="125">
        <v>3.94348</v>
      </c>
      <c r="Q78" s="120">
        <f t="shared" si="13"/>
        <v>83925.14136000001</v>
      </c>
      <c r="R78" s="71"/>
      <c r="S78" s="71"/>
      <c r="T78" s="71"/>
      <c r="U78" s="71"/>
      <c r="V78" s="71"/>
      <c r="W78" s="104">
        <f t="shared" si="3"/>
        <v>195.08530957953568</v>
      </c>
      <c r="X78" s="104">
        <f t="shared" si="4"/>
        <v>114.96277893390035</v>
      </c>
    </row>
    <row r="79" spans="1:24" ht="15" customHeight="1" hidden="1">
      <c r="A79" s="43"/>
      <c r="B79" s="44" t="s">
        <v>105</v>
      </c>
      <c r="C79" s="54">
        <v>56.8</v>
      </c>
      <c r="D79" s="44"/>
      <c r="E79" s="44"/>
      <c r="F79" s="44"/>
      <c r="G79" s="62">
        <f>D79+C79</f>
        <v>56.8</v>
      </c>
      <c r="H79" s="63">
        <v>135565.42</v>
      </c>
      <c r="I79" s="120">
        <v>213.89</v>
      </c>
      <c r="J79" s="120"/>
      <c r="K79" s="120">
        <v>10491.05</v>
      </c>
      <c r="L79" s="124"/>
      <c r="M79" s="124"/>
      <c r="N79" s="124"/>
      <c r="O79" s="120">
        <v>21882</v>
      </c>
      <c r="P79" s="125">
        <v>3.92864</v>
      </c>
      <c r="Q79" s="120">
        <f t="shared" si="13"/>
        <v>85966.50048</v>
      </c>
      <c r="R79" s="71"/>
      <c r="S79" s="71"/>
      <c r="T79" s="71"/>
      <c r="U79" s="71"/>
      <c r="V79" s="71"/>
      <c r="W79" s="104">
        <f t="shared" si="3"/>
        <v>200.58531830746168</v>
      </c>
      <c r="X79" s="104">
        <f t="shared" si="4"/>
        <v>118.20390605354795</v>
      </c>
    </row>
    <row r="80" spans="1:24" ht="15" customHeight="1" hidden="1">
      <c r="A80" s="43"/>
      <c r="B80" s="44" t="s">
        <v>106</v>
      </c>
      <c r="C80" s="54">
        <v>36</v>
      </c>
      <c r="D80" s="44"/>
      <c r="E80" s="44"/>
      <c r="F80" s="44"/>
      <c r="G80" s="62">
        <f>D80+C80</f>
        <v>36</v>
      </c>
      <c r="H80" s="63">
        <v>85921.99</v>
      </c>
      <c r="I80" s="120">
        <v>258.7</v>
      </c>
      <c r="J80" s="120"/>
      <c r="K80" s="120">
        <v>12688.44</v>
      </c>
      <c r="L80" s="124"/>
      <c r="M80" s="124"/>
      <c r="N80" s="124"/>
      <c r="O80" s="120">
        <v>21672</v>
      </c>
      <c r="P80" s="125">
        <v>3.84733</v>
      </c>
      <c r="Q80" s="120">
        <f t="shared" si="13"/>
        <v>83379.33576</v>
      </c>
      <c r="R80" s="71"/>
      <c r="S80" s="71"/>
      <c r="T80" s="71"/>
      <c r="U80" s="71"/>
      <c r="V80" s="71"/>
      <c r="W80" s="104">
        <f t="shared" si="3"/>
        <v>198.66031525268758</v>
      </c>
      <c r="X80" s="104">
        <f t="shared" si="4"/>
        <v>117.06951156167129</v>
      </c>
    </row>
    <row r="81" spans="1:24" ht="15" customHeight="1" hidden="1">
      <c r="A81" s="43"/>
      <c r="B81" s="44" t="s">
        <v>107</v>
      </c>
      <c r="C81" s="54"/>
      <c r="D81" s="44"/>
      <c r="E81" s="44"/>
      <c r="F81" s="44"/>
      <c r="G81" s="44"/>
      <c r="H81" s="63"/>
      <c r="I81" s="120">
        <v>211.17</v>
      </c>
      <c r="J81" s="120"/>
      <c r="K81" s="120">
        <v>10357.64</v>
      </c>
      <c r="L81" s="124"/>
      <c r="M81" s="124"/>
      <c r="N81" s="124"/>
      <c r="O81" s="120">
        <v>24684</v>
      </c>
      <c r="P81" s="125">
        <v>3.93847</v>
      </c>
      <c r="Q81" s="120">
        <f t="shared" si="13"/>
        <v>97217.19348</v>
      </c>
      <c r="R81" s="71"/>
      <c r="S81" s="71"/>
      <c r="T81" s="71"/>
      <c r="U81" s="71"/>
      <c r="V81" s="71"/>
      <c r="W81" s="104">
        <f t="shared" si="3"/>
        <v>226.27035906687615</v>
      </c>
      <c r="X81" s="104">
        <f t="shared" si="4"/>
        <v>133.33996970230223</v>
      </c>
    </row>
    <row r="82" spans="1:24" ht="15" customHeight="1" hidden="1">
      <c r="A82" s="43"/>
      <c r="B82" s="44" t="s">
        <v>108</v>
      </c>
      <c r="C82" s="54"/>
      <c r="D82" s="44"/>
      <c r="E82" s="44"/>
      <c r="F82" s="44"/>
      <c r="G82" s="44"/>
      <c r="H82" s="63"/>
      <c r="I82" s="120">
        <v>244.1</v>
      </c>
      <c r="J82" s="120"/>
      <c r="K82" s="120">
        <v>11972.82</v>
      </c>
      <c r="L82" s="124"/>
      <c r="M82" s="124"/>
      <c r="N82" s="124"/>
      <c r="O82" s="120">
        <v>23028</v>
      </c>
      <c r="P82" s="125">
        <v>3.97841</v>
      </c>
      <c r="Q82" s="120">
        <f t="shared" si="13"/>
        <v>91614.82548</v>
      </c>
      <c r="R82" s="71"/>
      <c r="S82" s="71"/>
      <c r="T82" s="71"/>
      <c r="U82" s="71"/>
      <c r="V82" s="71"/>
      <c r="W82" s="104">
        <f t="shared" si="3"/>
        <v>211.09033497780038</v>
      </c>
      <c r="X82" s="104">
        <f t="shared" si="4"/>
        <v>124.39445885207486</v>
      </c>
    </row>
    <row r="83" spans="1:24" ht="15" customHeight="1" hidden="1">
      <c r="A83" s="43"/>
      <c r="B83" s="220" t="s">
        <v>109</v>
      </c>
      <c r="C83" s="220" t="s">
        <v>81</v>
      </c>
      <c r="D83" s="220"/>
      <c r="E83" s="220"/>
      <c r="F83" s="220"/>
      <c r="G83" s="220"/>
      <c r="H83" s="220"/>
      <c r="I83" s="118" t="s">
        <v>82</v>
      </c>
      <c r="J83" s="118" t="s">
        <v>83</v>
      </c>
      <c r="K83" s="118" t="s">
        <v>84</v>
      </c>
      <c r="L83" s="199"/>
      <c r="M83" s="199"/>
      <c r="N83" s="228"/>
      <c r="O83" s="228"/>
      <c r="P83" s="229"/>
      <c r="Q83" s="199"/>
      <c r="R83" s="71"/>
      <c r="S83" s="71"/>
      <c r="T83" s="71"/>
      <c r="U83" s="71"/>
      <c r="V83" s="71"/>
      <c r="W83" s="104">
        <f t="shared" si="3"/>
        <v>0</v>
      </c>
      <c r="X83" s="104">
        <f t="shared" si="4"/>
        <v>0</v>
      </c>
    </row>
    <row r="84" spans="1:24" ht="15" customHeight="1" hidden="1">
      <c r="A84" s="43"/>
      <c r="B84" s="220"/>
      <c r="C84" s="220">
        <v>2103.15</v>
      </c>
      <c r="D84" s="220"/>
      <c r="E84" s="220"/>
      <c r="F84" s="220"/>
      <c r="G84" s="220"/>
      <c r="H84" s="220"/>
      <c r="I84" s="126">
        <v>26.61</v>
      </c>
      <c r="J84" s="126">
        <f>I84*1.18</f>
        <v>31.3998</v>
      </c>
      <c r="K84" s="226">
        <f>J86+J84</f>
        <v>51.61319999999999</v>
      </c>
      <c r="L84" s="199"/>
      <c r="M84" s="199"/>
      <c r="N84" s="228"/>
      <c r="O84" s="228"/>
      <c r="P84" s="229"/>
      <c r="Q84" s="199"/>
      <c r="R84" s="71"/>
      <c r="S84" s="71"/>
      <c r="T84" s="71"/>
      <c r="U84" s="71"/>
      <c r="V84" s="71"/>
      <c r="W84" s="104">
        <f t="shared" si="3"/>
        <v>0</v>
      </c>
      <c r="X84" s="104">
        <f t="shared" si="4"/>
        <v>0</v>
      </c>
    </row>
    <row r="85" spans="1:24" ht="15" customHeight="1" hidden="1">
      <c r="A85" s="43"/>
      <c r="B85" s="220"/>
      <c r="C85" s="220" t="s">
        <v>93</v>
      </c>
      <c r="D85" s="220"/>
      <c r="E85" s="220"/>
      <c r="F85" s="220"/>
      <c r="G85" s="220"/>
      <c r="H85" s="220"/>
      <c r="I85" s="118" t="s">
        <v>110</v>
      </c>
      <c r="J85" s="118" t="s">
        <v>83</v>
      </c>
      <c r="K85" s="226"/>
      <c r="L85" s="199"/>
      <c r="M85" s="199"/>
      <c r="N85" s="228"/>
      <c r="O85" s="228"/>
      <c r="P85" s="229"/>
      <c r="Q85" s="199"/>
      <c r="R85" s="71"/>
      <c r="S85" s="71"/>
      <c r="T85" s="71"/>
      <c r="U85" s="71"/>
      <c r="V85" s="71"/>
      <c r="W85" s="104">
        <f t="shared" si="3"/>
        <v>0</v>
      </c>
      <c r="X85" s="104">
        <f t="shared" si="4"/>
        <v>0</v>
      </c>
    </row>
    <row r="86" spans="1:24" ht="15" customHeight="1" hidden="1">
      <c r="A86" s="43"/>
      <c r="B86" s="220"/>
      <c r="C86" s="225">
        <f>C84*1.18</f>
        <v>2481.717</v>
      </c>
      <c r="D86" s="225"/>
      <c r="E86" s="225"/>
      <c r="F86" s="225"/>
      <c r="G86" s="225"/>
      <c r="H86" s="225"/>
      <c r="I86" s="126">
        <v>17.13</v>
      </c>
      <c r="J86" s="126">
        <f>I86*1.18</f>
        <v>20.213399999999996</v>
      </c>
      <c r="K86" s="226"/>
      <c r="L86" s="199"/>
      <c r="M86" s="199"/>
      <c r="N86" s="228"/>
      <c r="O86" s="228"/>
      <c r="P86" s="229"/>
      <c r="Q86" s="199"/>
      <c r="R86" s="71"/>
      <c r="S86" s="71"/>
      <c r="T86" s="71"/>
      <c r="U86" s="71"/>
      <c r="V86" s="71"/>
      <c r="W86" s="104">
        <f t="shared" si="3"/>
        <v>0</v>
      </c>
      <c r="X86" s="104">
        <f t="shared" si="4"/>
        <v>0</v>
      </c>
    </row>
    <row r="87" spans="1:24" ht="15" customHeight="1" hidden="1">
      <c r="A87" s="43"/>
      <c r="B87" s="45" t="s">
        <v>111</v>
      </c>
      <c r="C87" s="45"/>
      <c r="D87" s="45"/>
      <c r="E87" s="55"/>
      <c r="F87" s="56"/>
      <c r="G87" s="55">
        <f aca="true" t="shared" si="14" ref="G87:G92">F87+E87+D87+C87</f>
        <v>0</v>
      </c>
      <c r="H87" s="56"/>
      <c r="I87" s="55">
        <v>278.39</v>
      </c>
      <c r="J87" s="55"/>
      <c r="K87" s="55">
        <v>14368.65</v>
      </c>
      <c r="L87" s="124"/>
      <c r="M87" s="124"/>
      <c r="N87" s="58"/>
      <c r="O87" s="60">
        <v>27252</v>
      </c>
      <c r="P87" s="125">
        <v>4.59379</v>
      </c>
      <c r="Q87" s="120">
        <f aca="true" t="shared" si="15" ref="Q87:Q92">P87*O87</f>
        <v>125189.96508000001</v>
      </c>
      <c r="R87" s="71"/>
      <c r="S87" s="71"/>
      <c r="T87" s="71"/>
      <c r="U87" s="71"/>
      <c r="V87" s="71"/>
      <c r="W87" s="104">
        <f t="shared" si="3"/>
        <v>249.8103964223995</v>
      </c>
      <c r="X87" s="104">
        <f t="shared" si="4"/>
        <v>147.21199377439396</v>
      </c>
    </row>
    <row r="88" spans="1:24" ht="15" customHeight="1" hidden="1">
      <c r="A88" s="43"/>
      <c r="B88" s="45" t="s">
        <v>112</v>
      </c>
      <c r="C88" s="45"/>
      <c r="D88" s="45"/>
      <c r="E88" s="56"/>
      <c r="F88" s="56"/>
      <c r="G88" s="55">
        <f t="shared" si="14"/>
        <v>0</v>
      </c>
      <c r="H88" s="56"/>
      <c r="I88" s="55">
        <v>257</v>
      </c>
      <c r="J88" s="55"/>
      <c r="K88" s="55">
        <v>14193.68</v>
      </c>
      <c r="L88" s="124"/>
      <c r="M88" s="124"/>
      <c r="N88" s="58"/>
      <c r="O88" s="60">
        <v>24828</v>
      </c>
      <c r="P88" s="125">
        <v>4.67442</v>
      </c>
      <c r="Q88" s="120">
        <f t="shared" si="15"/>
        <v>116056.49975999999</v>
      </c>
      <c r="R88" s="71"/>
      <c r="S88" s="71"/>
      <c r="T88" s="71"/>
      <c r="U88" s="71"/>
      <c r="V88" s="71"/>
      <c r="W88" s="104">
        <f t="shared" si="3"/>
        <v>227.5903611615784</v>
      </c>
      <c r="X88" s="104">
        <f t="shared" si="4"/>
        <v>134.11784021101766</v>
      </c>
    </row>
    <row r="89" spans="1:24" ht="15" customHeight="1" hidden="1">
      <c r="A89" s="43"/>
      <c r="B89" s="44" t="s">
        <v>113</v>
      </c>
      <c r="C89" s="44"/>
      <c r="D89" s="44"/>
      <c r="E89" s="60"/>
      <c r="F89" s="60"/>
      <c r="G89" s="124">
        <f t="shared" si="14"/>
        <v>0</v>
      </c>
      <c r="H89" s="60"/>
      <c r="I89" s="120">
        <v>224.07</v>
      </c>
      <c r="J89" s="120"/>
      <c r="K89" s="120">
        <v>11565.01</v>
      </c>
      <c r="L89" s="124"/>
      <c r="M89" s="124"/>
      <c r="N89" s="58"/>
      <c r="O89" s="60">
        <v>22806</v>
      </c>
      <c r="P89" s="125">
        <v>4.28833</v>
      </c>
      <c r="Q89" s="120">
        <f t="shared" si="15"/>
        <v>97799.65398</v>
      </c>
      <c r="R89" s="71"/>
      <c r="S89" s="71"/>
      <c r="T89" s="71"/>
      <c r="U89" s="71"/>
      <c r="V89" s="71"/>
      <c r="W89" s="104">
        <f t="shared" si="3"/>
        <v>209.05533174846775</v>
      </c>
      <c r="X89" s="104">
        <f t="shared" si="4"/>
        <v>123.19524181780525</v>
      </c>
    </row>
    <row r="90" spans="1:24" ht="15" customHeight="1" hidden="1">
      <c r="A90" s="43"/>
      <c r="B90" s="44" t="s">
        <v>114</v>
      </c>
      <c r="C90" s="54">
        <v>80.68</v>
      </c>
      <c r="D90" s="44"/>
      <c r="E90" s="60"/>
      <c r="F90" s="60"/>
      <c r="G90" s="61">
        <f t="shared" si="14"/>
        <v>80.68</v>
      </c>
      <c r="H90" s="60">
        <v>200224.93</v>
      </c>
      <c r="I90" s="60">
        <v>274.83</v>
      </c>
      <c r="J90" s="120"/>
      <c r="K90" s="120">
        <v>12791.35</v>
      </c>
      <c r="L90" s="124"/>
      <c r="M90" s="124"/>
      <c r="N90" s="58"/>
      <c r="O90" s="60">
        <v>25554</v>
      </c>
      <c r="P90" s="125">
        <v>4.23582</v>
      </c>
      <c r="Q90" s="120">
        <f t="shared" si="15"/>
        <v>108242.14428000001</v>
      </c>
      <c r="R90" s="71"/>
      <c r="S90" s="71"/>
      <c r="T90" s="71"/>
      <c r="U90" s="71"/>
      <c r="V90" s="71"/>
      <c r="W90" s="104">
        <f aca="true" t="shared" si="16" ref="W90:W153">O90*$W$456/$O$456</f>
        <v>234.24537172236887</v>
      </c>
      <c r="X90" s="104">
        <f aca="true" t="shared" si="17" ref="X90:X153">O90*$X$456/$O$456</f>
        <v>138.03960402579125</v>
      </c>
    </row>
    <row r="91" spans="1:24" ht="15" customHeight="1" hidden="1">
      <c r="A91" s="43"/>
      <c r="B91" s="44" t="s">
        <v>115</v>
      </c>
      <c r="C91" s="54">
        <v>55.6</v>
      </c>
      <c r="D91" s="54"/>
      <c r="E91" s="62"/>
      <c r="F91" s="62"/>
      <c r="G91" s="61">
        <f t="shared" si="14"/>
        <v>55.6</v>
      </c>
      <c r="H91" s="120">
        <v>137983.47</v>
      </c>
      <c r="I91" s="120">
        <v>209.81</v>
      </c>
      <c r="J91" s="120"/>
      <c r="K91" s="120">
        <v>10829.01</v>
      </c>
      <c r="L91" s="124"/>
      <c r="M91" s="124"/>
      <c r="N91" s="124"/>
      <c r="O91" s="124">
        <v>21474</v>
      </c>
      <c r="P91" s="78"/>
      <c r="Q91" s="120">
        <f t="shared" si="15"/>
        <v>0</v>
      </c>
      <c r="R91" s="71"/>
      <c r="S91" s="71"/>
      <c r="T91" s="71"/>
      <c r="U91" s="71"/>
      <c r="V91" s="71"/>
      <c r="W91" s="104">
        <f t="shared" si="16"/>
        <v>196.845312372472</v>
      </c>
      <c r="X91" s="104">
        <f t="shared" si="17"/>
        <v>115.99993961218757</v>
      </c>
    </row>
    <row r="92" spans="1:24" ht="15" customHeight="1" hidden="1">
      <c r="A92" s="43"/>
      <c r="B92" s="44" t="s">
        <v>116</v>
      </c>
      <c r="C92" s="54">
        <v>66.1</v>
      </c>
      <c r="D92" s="44"/>
      <c r="E92" s="120"/>
      <c r="F92" s="120"/>
      <c r="G92" s="61">
        <f t="shared" si="14"/>
        <v>66.1</v>
      </c>
      <c r="H92" s="120">
        <v>164041.49</v>
      </c>
      <c r="I92" s="120">
        <v>217.62</v>
      </c>
      <c r="J92" s="120"/>
      <c r="K92" s="120">
        <v>11232.88</v>
      </c>
      <c r="L92" s="124"/>
      <c r="M92" s="124"/>
      <c r="N92" s="124"/>
      <c r="O92" s="124">
        <v>22584</v>
      </c>
      <c r="P92" s="78"/>
      <c r="Q92" s="120">
        <f t="shared" si="15"/>
        <v>0</v>
      </c>
      <c r="R92" s="71"/>
      <c r="S92" s="71"/>
      <c r="T92" s="71"/>
      <c r="U92" s="71"/>
      <c r="V92" s="71"/>
      <c r="W92" s="104">
        <f t="shared" si="16"/>
        <v>207.02032851913512</v>
      </c>
      <c r="X92" s="104">
        <f t="shared" si="17"/>
        <v>121.99602478353565</v>
      </c>
    </row>
    <row r="93" spans="1:24" ht="15" customHeight="1">
      <c r="A93" s="43"/>
      <c r="B93" s="118" t="s">
        <v>117</v>
      </c>
      <c r="C93" s="59">
        <f aca="true" t="shared" si="18" ref="C93:K93">C92+C91+C90+C89+C88+C87+C82+C81+C80+C79+C78+C77</f>
        <v>432.38</v>
      </c>
      <c r="D93" s="124">
        <f t="shared" si="18"/>
        <v>0</v>
      </c>
      <c r="E93" s="124">
        <f t="shared" si="18"/>
        <v>0</v>
      </c>
      <c r="F93" s="124">
        <f t="shared" si="18"/>
        <v>0</v>
      </c>
      <c r="G93" s="59">
        <f t="shared" si="18"/>
        <v>432.38</v>
      </c>
      <c r="H93" s="124">
        <f t="shared" si="18"/>
        <v>1051194.6300000001</v>
      </c>
      <c r="I93" s="124">
        <f t="shared" si="18"/>
        <v>2893.74</v>
      </c>
      <c r="J93" s="124">
        <f t="shared" si="18"/>
        <v>0</v>
      </c>
      <c r="K93" s="124">
        <f t="shared" si="18"/>
        <v>145218.98</v>
      </c>
      <c r="L93" s="58"/>
      <c r="M93" s="58"/>
      <c r="N93" s="124"/>
      <c r="O93" s="79">
        <v>24060</v>
      </c>
      <c r="P93" s="78"/>
      <c r="Q93" s="58"/>
      <c r="R93" s="71"/>
      <c r="S93" s="71"/>
      <c r="T93" s="71"/>
      <c r="U93" s="71"/>
      <c r="V93" s="71"/>
      <c r="W93" s="104">
        <f t="shared" si="16"/>
        <v>220.5503499898331</v>
      </c>
      <c r="X93" s="104">
        <f t="shared" si="17"/>
        <v>129.96919749786875</v>
      </c>
    </row>
    <row r="94" spans="1:24" ht="15" customHeight="1" hidden="1">
      <c r="A94" s="42">
        <v>5</v>
      </c>
      <c r="B94" s="221" t="s">
        <v>121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71"/>
      <c r="S94" s="71"/>
      <c r="T94" s="71"/>
      <c r="U94" s="71"/>
      <c r="V94" s="71"/>
      <c r="W94" s="104">
        <f t="shared" si="16"/>
        <v>0</v>
      </c>
      <c r="X94" s="104">
        <f t="shared" si="17"/>
        <v>0</v>
      </c>
    </row>
    <row r="95" spans="1:24" ht="15" customHeight="1" hidden="1">
      <c r="A95" s="43"/>
      <c r="B95" s="199" t="s">
        <v>80</v>
      </c>
      <c r="C95" s="199" t="s">
        <v>81</v>
      </c>
      <c r="D95" s="199"/>
      <c r="E95" s="199"/>
      <c r="F95" s="199"/>
      <c r="G95" s="199"/>
      <c r="H95" s="199"/>
      <c r="I95" s="118" t="s">
        <v>82</v>
      </c>
      <c r="J95" s="118" t="s">
        <v>83</v>
      </c>
      <c r="K95" s="118" t="s">
        <v>84</v>
      </c>
      <c r="L95" s="199" t="s">
        <v>85</v>
      </c>
      <c r="M95" s="199" t="s">
        <v>86</v>
      </c>
      <c r="N95" s="199" t="s">
        <v>87</v>
      </c>
      <c r="O95" s="199" t="s">
        <v>88</v>
      </c>
      <c r="P95" s="200" t="s">
        <v>89</v>
      </c>
      <c r="Q95" s="199" t="s">
        <v>90</v>
      </c>
      <c r="R95" s="71"/>
      <c r="S95" s="71"/>
      <c r="T95" s="71"/>
      <c r="U95" s="71"/>
      <c r="V95" s="71"/>
      <c r="W95" s="104" t="e">
        <f t="shared" si="16"/>
        <v>#VALUE!</v>
      </c>
      <c r="X95" s="104" t="e">
        <f t="shared" si="17"/>
        <v>#VALUE!</v>
      </c>
    </row>
    <row r="96" spans="1:24" ht="15" customHeight="1" hidden="1">
      <c r="A96" s="43"/>
      <c r="B96" s="199"/>
      <c r="C96" s="199">
        <v>2022.64</v>
      </c>
      <c r="D96" s="199"/>
      <c r="E96" s="199"/>
      <c r="F96" s="199"/>
      <c r="G96" s="199"/>
      <c r="H96" s="199"/>
      <c r="I96" s="126">
        <v>25.35</v>
      </c>
      <c r="J96" s="126">
        <f>I96*1.18</f>
        <v>29.913</v>
      </c>
      <c r="K96" s="226">
        <f>29.913+19.14</f>
        <v>49.053</v>
      </c>
      <c r="L96" s="199"/>
      <c r="M96" s="199"/>
      <c r="N96" s="199"/>
      <c r="O96" s="199"/>
      <c r="P96" s="200"/>
      <c r="Q96" s="199"/>
      <c r="R96" s="71"/>
      <c r="S96" s="71"/>
      <c r="T96" s="71"/>
      <c r="U96" s="71"/>
      <c r="V96" s="71"/>
      <c r="W96" s="104">
        <f t="shared" si="16"/>
        <v>0</v>
      </c>
      <c r="X96" s="104">
        <f t="shared" si="17"/>
        <v>0</v>
      </c>
    </row>
    <row r="97" spans="1:24" ht="15" customHeight="1" hidden="1">
      <c r="A97" s="43"/>
      <c r="B97" s="199"/>
      <c r="C97" s="199" t="s">
        <v>93</v>
      </c>
      <c r="D97" s="199"/>
      <c r="E97" s="199"/>
      <c r="F97" s="199"/>
      <c r="G97" s="199"/>
      <c r="H97" s="199"/>
      <c r="I97" s="118" t="s">
        <v>94</v>
      </c>
      <c r="J97" s="118" t="s">
        <v>83</v>
      </c>
      <c r="K97" s="226"/>
      <c r="L97" s="199"/>
      <c r="M97" s="199"/>
      <c r="N97" s="199"/>
      <c r="O97" s="199"/>
      <c r="P97" s="200"/>
      <c r="Q97" s="199"/>
      <c r="R97" s="71"/>
      <c r="S97" s="71"/>
      <c r="T97" s="71"/>
      <c r="U97" s="71"/>
      <c r="V97" s="71"/>
      <c r="W97" s="104">
        <f t="shared" si="16"/>
        <v>0</v>
      </c>
      <c r="X97" s="104">
        <f t="shared" si="17"/>
        <v>0</v>
      </c>
    </row>
    <row r="98" spans="1:24" ht="15" customHeight="1" hidden="1">
      <c r="A98" s="43"/>
      <c r="B98" s="199"/>
      <c r="C98" s="207">
        <f>C96*1.18</f>
        <v>2386.7152</v>
      </c>
      <c r="D98" s="207"/>
      <c r="E98" s="207"/>
      <c r="F98" s="207"/>
      <c r="G98" s="207"/>
      <c r="H98" s="207"/>
      <c r="I98" s="126">
        <v>16.22</v>
      </c>
      <c r="J98" s="126">
        <f>I98*1.18</f>
        <v>19.139599999999998</v>
      </c>
      <c r="K98" s="226"/>
      <c r="L98" s="199"/>
      <c r="M98" s="199"/>
      <c r="N98" s="199"/>
      <c r="O98" s="199"/>
      <c r="P98" s="200"/>
      <c r="Q98" s="199"/>
      <c r="R98" s="71"/>
      <c r="S98" s="71"/>
      <c r="T98" s="71"/>
      <c r="U98" s="71"/>
      <c r="V98" s="71"/>
      <c r="W98" s="104">
        <f t="shared" si="16"/>
        <v>0</v>
      </c>
      <c r="X98" s="104">
        <f t="shared" si="17"/>
        <v>0</v>
      </c>
    </row>
    <row r="99" spans="1:24" ht="45" customHeight="1" hidden="1">
      <c r="A99" s="43"/>
      <c r="B99" s="118" t="s">
        <v>96</v>
      </c>
      <c r="C99" s="118" t="s">
        <v>97</v>
      </c>
      <c r="D99" s="118" t="s">
        <v>98</v>
      </c>
      <c r="E99" s="118" t="s">
        <v>99</v>
      </c>
      <c r="F99" s="118" t="s">
        <v>100</v>
      </c>
      <c r="G99" s="118" t="s">
        <v>101</v>
      </c>
      <c r="H99" s="118" t="s">
        <v>90</v>
      </c>
      <c r="I99" s="118" t="s">
        <v>171</v>
      </c>
      <c r="J99" s="118" t="s">
        <v>102</v>
      </c>
      <c r="K99" s="118" t="s">
        <v>90</v>
      </c>
      <c r="L99" s="199"/>
      <c r="M99" s="199"/>
      <c r="N99" s="199"/>
      <c r="O99" s="199"/>
      <c r="P99" s="200"/>
      <c r="Q99" s="199"/>
      <c r="R99" s="71"/>
      <c r="S99" s="71"/>
      <c r="T99" s="71"/>
      <c r="U99" s="71"/>
      <c r="V99" s="71"/>
      <c r="W99" s="104">
        <f t="shared" si="16"/>
        <v>0</v>
      </c>
      <c r="X99" s="104">
        <f t="shared" si="17"/>
        <v>0</v>
      </c>
    </row>
    <row r="100" spans="1:24" ht="15" customHeight="1" hidden="1">
      <c r="A100" s="43"/>
      <c r="B100" s="44" t="s">
        <v>103</v>
      </c>
      <c r="C100" s="62">
        <v>374.9368</v>
      </c>
      <c r="D100" s="62">
        <v>19.4331</v>
      </c>
      <c r="E100" s="80"/>
      <c r="F100" s="80"/>
      <c r="G100" s="62">
        <f>D100+C100</f>
        <v>394.36990000000003</v>
      </c>
      <c r="H100" s="60">
        <f>894867.36+46381.28</f>
        <v>941248.64</v>
      </c>
      <c r="I100" s="120">
        <v>1372</v>
      </c>
      <c r="J100" s="120"/>
      <c r="K100" s="120">
        <v>67294.99</v>
      </c>
      <c r="L100" s="126"/>
      <c r="M100" s="126"/>
      <c r="N100" s="126"/>
      <c r="O100" s="126"/>
      <c r="P100" s="81"/>
      <c r="Q100" s="126"/>
      <c r="R100" s="71"/>
      <c r="S100" s="71"/>
      <c r="T100" s="71"/>
      <c r="U100" s="71"/>
      <c r="V100" s="71"/>
      <c r="W100" s="104">
        <f t="shared" si="16"/>
        <v>0</v>
      </c>
      <c r="X100" s="104">
        <f t="shared" si="17"/>
        <v>0</v>
      </c>
    </row>
    <row r="101" spans="1:24" ht="15" customHeight="1" hidden="1">
      <c r="A101" s="43"/>
      <c r="B101" s="44" t="s">
        <v>104</v>
      </c>
      <c r="C101" s="54">
        <v>261.8263</v>
      </c>
      <c r="D101" s="54">
        <v>18.29</v>
      </c>
      <c r="E101" s="44"/>
      <c r="F101" s="44"/>
      <c r="G101" s="62">
        <f>D101+C101</f>
        <v>280.1163</v>
      </c>
      <c r="H101" s="63">
        <v>668557.18</v>
      </c>
      <c r="I101" s="120">
        <v>1018</v>
      </c>
      <c r="J101" s="120"/>
      <c r="K101" s="120">
        <v>49931.7</v>
      </c>
      <c r="L101" s="124"/>
      <c r="M101" s="124"/>
      <c r="N101" s="124"/>
      <c r="O101" s="124"/>
      <c r="P101" s="78"/>
      <c r="Q101" s="124"/>
      <c r="R101" s="71"/>
      <c r="S101" s="71"/>
      <c r="T101" s="71"/>
      <c r="U101" s="71"/>
      <c r="V101" s="71"/>
      <c r="W101" s="104">
        <f t="shared" si="16"/>
        <v>0</v>
      </c>
      <c r="X101" s="104">
        <f t="shared" si="17"/>
        <v>0</v>
      </c>
    </row>
    <row r="102" spans="1:24" ht="15" customHeight="1" hidden="1">
      <c r="A102" s="43"/>
      <c r="B102" s="44" t="s">
        <v>105</v>
      </c>
      <c r="C102" s="54">
        <v>303.887</v>
      </c>
      <c r="D102" s="54">
        <v>21.1478</v>
      </c>
      <c r="E102" s="44"/>
      <c r="F102" s="44"/>
      <c r="G102" s="62">
        <f>D102+C102</f>
        <v>325.0348</v>
      </c>
      <c r="H102" s="63">
        <v>775765.5</v>
      </c>
      <c r="I102" s="120">
        <v>753</v>
      </c>
      <c r="J102" s="120"/>
      <c r="K102" s="120">
        <v>36933.76</v>
      </c>
      <c r="L102" s="124"/>
      <c r="M102" s="124"/>
      <c r="N102" s="124"/>
      <c r="O102" s="124"/>
      <c r="P102" s="78"/>
      <c r="Q102" s="124"/>
      <c r="R102" s="71"/>
      <c r="S102" s="71"/>
      <c r="T102" s="71"/>
      <c r="U102" s="71"/>
      <c r="V102" s="71"/>
      <c r="W102" s="104">
        <f t="shared" si="16"/>
        <v>0</v>
      </c>
      <c r="X102" s="104">
        <f t="shared" si="17"/>
        <v>0</v>
      </c>
    </row>
    <row r="103" spans="1:24" ht="15" customHeight="1" hidden="1">
      <c r="A103" s="43"/>
      <c r="B103" s="44" t="s">
        <v>106</v>
      </c>
      <c r="C103" s="54">
        <v>98.4306</v>
      </c>
      <c r="D103" s="54">
        <v>26.673</v>
      </c>
      <c r="E103" s="44"/>
      <c r="F103" s="44"/>
      <c r="G103" s="62">
        <f>D103+C103</f>
        <v>125.1036</v>
      </c>
      <c r="H103" s="63">
        <v>285399.58</v>
      </c>
      <c r="I103" s="120">
        <v>806</v>
      </c>
      <c r="J103" s="120"/>
      <c r="K103" s="120">
        <v>39533.35</v>
      </c>
      <c r="L103" s="124"/>
      <c r="M103" s="124"/>
      <c r="N103" s="124"/>
      <c r="O103" s="124"/>
      <c r="P103" s="78"/>
      <c r="Q103" s="124"/>
      <c r="R103" s="71"/>
      <c r="S103" s="71"/>
      <c r="T103" s="71"/>
      <c r="U103" s="71"/>
      <c r="V103" s="71"/>
      <c r="W103" s="104">
        <f t="shared" si="16"/>
        <v>0</v>
      </c>
      <c r="X103" s="104">
        <f t="shared" si="17"/>
        <v>0</v>
      </c>
    </row>
    <row r="104" spans="1:24" ht="15" customHeight="1" hidden="1">
      <c r="A104" s="43"/>
      <c r="B104" s="44" t="s">
        <v>107</v>
      </c>
      <c r="C104" s="54"/>
      <c r="D104" s="54">
        <v>28.39</v>
      </c>
      <c r="E104" s="44"/>
      <c r="F104" s="44"/>
      <c r="G104" s="62">
        <f>D104+C104</f>
        <v>28.39</v>
      </c>
      <c r="H104" s="63">
        <v>67758.77</v>
      </c>
      <c r="I104" s="120">
        <v>1058</v>
      </c>
      <c r="J104" s="120"/>
      <c r="K104" s="120">
        <v>51893.65</v>
      </c>
      <c r="L104" s="124"/>
      <c r="M104" s="124"/>
      <c r="N104" s="124"/>
      <c r="O104" s="124"/>
      <c r="P104" s="78"/>
      <c r="Q104" s="124"/>
      <c r="R104" s="71"/>
      <c r="S104" s="71"/>
      <c r="T104" s="71"/>
      <c r="U104" s="71"/>
      <c r="V104" s="71"/>
      <c r="W104" s="104">
        <f t="shared" si="16"/>
        <v>0</v>
      </c>
      <c r="X104" s="104">
        <f t="shared" si="17"/>
        <v>0</v>
      </c>
    </row>
    <row r="105" spans="1:24" ht="15" customHeight="1" hidden="1">
      <c r="A105" s="43"/>
      <c r="B105" s="44" t="s">
        <v>108</v>
      </c>
      <c r="C105" s="54"/>
      <c r="D105" s="54"/>
      <c r="E105" s="44"/>
      <c r="F105" s="44">
        <v>24.359</v>
      </c>
      <c r="G105" s="62">
        <f>F105+E105</f>
        <v>24.359</v>
      </c>
      <c r="H105" s="63">
        <v>58138</v>
      </c>
      <c r="I105" s="120">
        <v>1161</v>
      </c>
      <c r="J105" s="120"/>
      <c r="K105" s="120">
        <v>56945.68</v>
      </c>
      <c r="L105" s="124"/>
      <c r="M105" s="124"/>
      <c r="N105" s="124"/>
      <c r="O105" s="124"/>
      <c r="P105" s="78"/>
      <c r="Q105" s="124"/>
      <c r="R105" s="71"/>
      <c r="S105" s="71"/>
      <c r="T105" s="71"/>
      <c r="U105" s="71"/>
      <c r="V105" s="71"/>
      <c r="W105" s="104">
        <f t="shared" si="16"/>
        <v>0</v>
      </c>
      <c r="X105" s="104">
        <f t="shared" si="17"/>
        <v>0</v>
      </c>
    </row>
    <row r="106" spans="1:24" ht="15" customHeight="1" hidden="1">
      <c r="A106" s="43"/>
      <c r="B106" s="220" t="s">
        <v>109</v>
      </c>
      <c r="C106" s="220" t="s">
        <v>81</v>
      </c>
      <c r="D106" s="220"/>
      <c r="E106" s="220"/>
      <c r="F106" s="220"/>
      <c r="G106" s="220"/>
      <c r="H106" s="220"/>
      <c r="I106" s="118" t="s">
        <v>82</v>
      </c>
      <c r="J106" s="118" t="s">
        <v>83</v>
      </c>
      <c r="K106" s="118" t="s">
        <v>84</v>
      </c>
      <c r="L106" s="118" t="s">
        <v>89</v>
      </c>
      <c r="M106" s="118" t="s">
        <v>83</v>
      </c>
      <c r="N106" s="124"/>
      <c r="O106" s="124"/>
      <c r="P106" s="78"/>
      <c r="Q106" s="118" t="s">
        <v>84</v>
      </c>
      <c r="R106" s="71"/>
      <c r="S106" s="71"/>
      <c r="T106" s="71"/>
      <c r="U106" s="71"/>
      <c r="V106" s="71"/>
      <c r="W106" s="104">
        <f t="shared" si="16"/>
        <v>0</v>
      </c>
      <c r="X106" s="104">
        <f t="shared" si="17"/>
        <v>0</v>
      </c>
    </row>
    <row r="107" spans="1:24" ht="15" customHeight="1" hidden="1">
      <c r="A107" s="43"/>
      <c r="B107" s="220"/>
      <c r="C107" s="220">
        <v>2103.15</v>
      </c>
      <c r="D107" s="220"/>
      <c r="E107" s="220"/>
      <c r="F107" s="220"/>
      <c r="G107" s="220"/>
      <c r="H107" s="220"/>
      <c r="I107" s="126">
        <v>26.61</v>
      </c>
      <c r="J107" s="126">
        <f>I107*1.18</f>
        <v>31.3998</v>
      </c>
      <c r="K107" s="226">
        <f>J109+J107</f>
        <v>51.61319999999999</v>
      </c>
      <c r="L107" s="230">
        <v>25.35</v>
      </c>
      <c r="M107" s="230">
        <f>L107*1.18</f>
        <v>29.913</v>
      </c>
      <c r="N107" s="82"/>
      <c r="O107" s="124"/>
      <c r="P107" s="78"/>
      <c r="Q107" s="226">
        <f>29.913+19.14</f>
        <v>49.053</v>
      </c>
      <c r="R107" s="71"/>
      <c r="S107" s="71"/>
      <c r="T107" s="71"/>
      <c r="U107" s="71"/>
      <c r="V107" s="71"/>
      <c r="W107" s="104">
        <f t="shared" si="16"/>
        <v>0</v>
      </c>
      <c r="X107" s="104">
        <f t="shared" si="17"/>
        <v>0</v>
      </c>
    </row>
    <row r="108" spans="1:24" ht="15" customHeight="1" hidden="1">
      <c r="A108" s="43"/>
      <c r="B108" s="220"/>
      <c r="C108" s="220" t="s">
        <v>93</v>
      </c>
      <c r="D108" s="220"/>
      <c r="E108" s="220"/>
      <c r="F108" s="220"/>
      <c r="G108" s="220"/>
      <c r="H108" s="220"/>
      <c r="I108" s="118" t="s">
        <v>110</v>
      </c>
      <c r="J108" s="118" t="s">
        <v>83</v>
      </c>
      <c r="K108" s="226"/>
      <c r="L108" s="230"/>
      <c r="M108" s="230"/>
      <c r="N108" s="126"/>
      <c r="O108" s="126"/>
      <c r="P108" s="81"/>
      <c r="Q108" s="226"/>
      <c r="R108" s="71"/>
      <c r="S108" s="71"/>
      <c r="T108" s="71"/>
      <c r="U108" s="71"/>
      <c r="V108" s="71"/>
      <c r="W108" s="104">
        <f t="shared" si="16"/>
        <v>0</v>
      </c>
      <c r="X108" s="104">
        <f t="shared" si="17"/>
        <v>0</v>
      </c>
    </row>
    <row r="109" spans="1:24" ht="15" customHeight="1" hidden="1">
      <c r="A109" s="43"/>
      <c r="B109" s="220"/>
      <c r="C109" s="225">
        <f>C107*1.18</f>
        <v>2481.717</v>
      </c>
      <c r="D109" s="225"/>
      <c r="E109" s="225"/>
      <c r="F109" s="225"/>
      <c r="G109" s="225"/>
      <c r="H109" s="225"/>
      <c r="I109" s="126">
        <v>17.13</v>
      </c>
      <c r="J109" s="126">
        <f>I109*1.18</f>
        <v>20.213399999999996</v>
      </c>
      <c r="K109" s="226"/>
      <c r="L109" s="230"/>
      <c r="M109" s="230"/>
      <c r="N109" s="126"/>
      <c r="O109" s="126"/>
      <c r="P109" s="81"/>
      <c r="Q109" s="226"/>
      <c r="R109" s="71"/>
      <c r="S109" s="71"/>
      <c r="T109" s="71"/>
      <c r="U109" s="71"/>
      <c r="V109" s="71"/>
      <c r="W109" s="104">
        <f t="shared" si="16"/>
        <v>0</v>
      </c>
      <c r="X109" s="104">
        <f t="shared" si="17"/>
        <v>0</v>
      </c>
    </row>
    <row r="110" spans="1:24" ht="15" customHeight="1" hidden="1">
      <c r="A110" s="43"/>
      <c r="B110" s="45" t="s">
        <v>111</v>
      </c>
      <c r="C110" s="45"/>
      <c r="D110" s="45"/>
      <c r="E110" s="55"/>
      <c r="F110" s="57">
        <v>24.075</v>
      </c>
      <c r="G110" s="57">
        <f aca="true" t="shared" si="19" ref="G110:G115">F110+E110+D110+C110</f>
        <v>24.075</v>
      </c>
      <c r="H110" s="56">
        <v>59747.34</v>
      </c>
      <c r="I110" s="55">
        <v>710</v>
      </c>
      <c r="J110" s="55"/>
      <c r="K110" s="55">
        <v>36645.51</v>
      </c>
      <c r="L110" s="124"/>
      <c r="M110" s="124"/>
      <c r="N110" s="58"/>
      <c r="O110" s="58"/>
      <c r="P110" s="78"/>
      <c r="Q110" s="124"/>
      <c r="R110" s="71"/>
      <c r="S110" s="71"/>
      <c r="T110" s="71"/>
      <c r="U110" s="71"/>
      <c r="V110" s="71"/>
      <c r="W110" s="104">
        <f t="shared" si="16"/>
        <v>0</v>
      </c>
      <c r="X110" s="104">
        <f t="shared" si="17"/>
        <v>0</v>
      </c>
    </row>
    <row r="111" spans="1:24" ht="15" customHeight="1" hidden="1">
      <c r="A111" s="43"/>
      <c r="B111" s="45" t="s">
        <v>112</v>
      </c>
      <c r="C111" s="45"/>
      <c r="D111" s="45"/>
      <c r="E111" s="56"/>
      <c r="F111" s="57">
        <v>22.43</v>
      </c>
      <c r="G111" s="57">
        <f t="shared" si="19"/>
        <v>22.43</v>
      </c>
      <c r="H111" s="56">
        <v>55664.91</v>
      </c>
      <c r="I111" s="55">
        <v>832</v>
      </c>
      <c r="J111" s="55"/>
      <c r="K111" s="55">
        <v>42942.34</v>
      </c>
      <c r="L111" s="124"/>
      <c r="M111" s="124"/>
      <c r="N111" s="58"/>
      <c r="O111" s="58"/>
      <c r="P111" s="78"/>
      <c r="Q111" s="124"/>
      <c r="R111" s="71"/>
      <c r="S111" s="71"/>
      <c r="T111" s="71"/>
      <c r="U111" s="71"/>
      <c r="V111" s="71"/>
      <c r="W111" s="104">
        <f t="shared" si="16"/>
        <v>0</v>
      </c>
      <c r="X111" s="104">
        <f t="shared" si="17"/>
        <v>0</v>
      </c>
    </row>
    <row r="112" spans="1:24" ht="15" customHeight="1" hidden="1">
      <c r="A112" s="43"/>
      <c r="B112" s="44" t="s">
        <v>113</v>
      </c>
      <c r="C112" s="44"/>
      <c r="D112" s="44"/>
      <c r="E112" s="60"/>
      <c r="F112" s="61">
        <v>25.573</v>
      </c>
      <c r="G112" s="61">
        <f t="shared" si="19"/>
        <v>25.573</v>
      </c>
      <c r="H112" s="60">
        <v>63464.94</v>
      </c>
      <c r="I112" s="120">
        <v>984</v>
      </c>
      <c r="J112" s="120"/>
      <c r="K112" s="120">
        <v>50787.57</v>
      </c>
      <c r="L112" s="124"/>
      <c r="M112" s="124"/>
      <c r="N112" s="58"/>
      <c r="O112" s="58"/>
      <c r="P112" s="78"/>
      <c r="Q112" s="124"/>
      <c r="R112" s="71"/>
      <c r="S112" s="71"/>
      <c r="T112" s="71"/>
      <c r="U112" s="71"/>
      <c r="V112" s="71"/>
      <c r="W112" s="104">
        <f t="shared" si="16"/>
        <v>0</v>
      </c>
      <c r="X112" s="104">
        <f t="shared" si="17"/>
        <v>0</v>
      </c>
    </row>
    <row r="113" spans="1:24" ht="15" customHeight="1" hidden="1">
      <c r="A113" s="43"/>
      <c r="B113" s="44" t="s">
        <v>114</v>
      </c>
      <c r="C113" s="54">
        <v>93.895</v>
      </c>
      <c r="D113" s="44"/>
      <c r="E113" s="60"/>
      <c r="F113" s="61">
        <v>21.581</v>
      </c>
      <c r="G113" s="61">
        <f t="shared" si="19"/>
        <v>115.476</v>
      </c>
      <c r="H113" s="60">
        <f>233020.82+53557.93</f>
        <v>286578.75</v>
      </c>
      <c r="I113" s="60">
        <v>1126</v>
      </c>
      <c r="J113" s="120"/>
      <c r="K113" s="120">
        <v>58116.68</v>
      </c>
      <c r="L113" s="124"/>
      <c r="M113" s="124"/>
      <c r="N113" s="58"/>
      <c r="O113" s="58"/>
      <c r="P113" s="78"/>
      <c r="Q113" s="124"/>
      <c r="R113" s="71"/>
      <c r="S113" s="71"/>
      <c r="T113" s="71"/>
      <c r="U113" s="71"/>
      <c r="V113" s="71"/>
      <c r="W113" s="104">
        <f t="shared" si="16"/>
        <v>0</v>
      </c>
      <c r="X113" s="104">
        <f t="shared" si="17"/>
        <v>0</v>
      </c>
    </row>
    <row r="114" spans="1:24" ht="15" customHeight="1" hidden="1">
      <c r="A114" s="43"/>
      <c r="B114" s="44" t="s">
        <v>115</v>
      </c>
      <c r="C114" s="54">
        <v>147.2375</v>
      </c>
      <c r="D114" s="44"/>
      <c r="E114" s="120"/>
      <c r="F114" s="61">
        <v>22.664</v>
      </c>
      <c r="G114" s="61">
        <f t="shared" si="19"/>
        <v>169.9015</v>
      </c>
      <c r="H114" s="120">
        <f>365401.81+56246.13</f>
        <v>421647.94</v>
      </c>
      <c r="I114" s="120">
        <v>747</v>
      </c>
      <c r="J114" s="120"/>
      <c r="K114" s="120">
        <v>38555.2</v>
      </c>
      <c r="L114" s="124"/>
      <c r="M114" s="124"/>
      <c r="N114" s="124"/>
      <c r="O114" s="124"/>
      <c r="P114" s="78"/>
      <c r="Q114" s="124"/>
      <c r="R114" s="71"/>
      <c r="S114" s="71"/>
      <c r="T114" s="71"/>
      <c r="U114" s="71"/>
      <c r="V114" s="71"/>
      <c r="W114" s="104">
        <f t="shared" si="16"/>
        <v>0</v>
      </c>
      <c r="X114" s="104">
        <f t="shared" si="17"/>
        <v>0</v>
      </c>
    </row>
    <row r="115" spans="1:24" ht="15" customHeight="1" hidden="1">
      <c r="A115" s="43"/>
      <c r="B115" s="44" t="s">
        <v>116</v>
      </c>
      <c r="C115" s="54">
        <v>198.5468</v>
      </c>
      <c r="D115" s="44"/>
      <c r="E115" s="120"/>
      <c r="F115" s="61">
        <v>28.97</v>
      </c>
      <c r="G115" s="61">
        <f t="shared" si="19"/>
        <v>227.5168</v>
      </c>
      <c r="H115" s="120">
        <f>492736.97+71896.53</f>
        <v>564633.5</v>
      </c>
      <c r="I115" s="120">
        <v>638</v>
      </c>
      <c r="J115" s="120"/>
      <c r="K115" s="120">
        <v>32929.34</v>
      </c>
      <c r="L115" s="124"/>
      <c r="M115" s="124"/>
      <c r="N115" s="124"/>
      <c r="O115" s="124"/>
      <c r="P115" s="78"/>
      <c r="Q115" s="124"/>
      <c r="R115" s="71"/>
      <c r="S115" s="71"/>
      <c r="T115" s="71"/>
      <c r="U115" s="71"/>
      <c r="V115" s="71"/>
      <c r="W115" s="104">
        <f t="shared" si="16"/>
        <v>0</v>
      </c>
      <c r="X115" s="104">
        <f t="shared" si="17"/>
        <v>0</v>
      </c>
    </row>
    <row r="116" spans="1:24" ht="15" customHeight="1" hidden="1">
      <c r="A116" s="43"/>
      <c r="B116" s="118" t="s">
        <v>117</v>
      </c>
      <c r="C116" s="75">
        <f aca="true" t="shared" si="20" ref="C116:K116">C115+C114+C113+C112+C111+C110+C105+C104+C103+C102+C101+C100</f>
        <v>1478.76</v>
      </c>
      <c r="D116" s="59">
        <f t="shared" si="20"/>
        <v>113.9339</v>
      </c>
      <c r="E116" s="124">
        <f t="shared" si="20"/>
        <v>0</v>
      </c>
      <c r="F116" s="59">
        <f>F115+F114+F113+F112+F111+F110+F105+F104+F103+F102+F101+F100</f>
        <v>169.65200000000002</v>
      </c>
      <c r="G116" s="59">
        <f>G115+G114+G113+G112+G111+G110+G105+G104+G103+G102+G101+G100</f>
        <v>1762.3459000000003</v>
      </c>
      <c r="H116" s="124">
        <f t="shared" si="20"/>
        <v>4248605.05</v>
      </c>
      <c r="I116" s="124">
        <f t="shared" si="20"/>
        <v>11205</v>
      </c>
      <c r="J116" s="124">
        <f t="shared" si="20"/>
        <v>0</v>
      </c>
      <c r="K116" s="124">
        <f t="shared" si="20"/>
        <v>562509.77</v>
      </c>
      <c r="L116" s="58"/>
      <c r="M116" s="58"/>
      <c r="N116" s="124"/>
      <c r="O116" s="124"/>
      <c r="P116" s="78"/>
      <c r="Q116" s="58"/>
      <c r="R116" s="71"/>
      <c r="S116" s="71"/>
      <c r="T116" s="71"/>
      <c r="U116" s="71"/>
      <c r="V116" s="71"/>
      <c r="W116" s="104">
        <f t="shared" si="16"/>
        <v>0</v>
      </c>
      <c r="X116" s="104">
        <f t="shared" si="17"/>
        <v>0</v>
      </c>
    </row>
    <row r="117" spans="1:24" ht="15" customHeight="1">
      <c r="A117" s="42">
        <v>6</v>
      </c>
      <c r="B117" s="221" t="s">
        <v>122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71"/>
      <c r="S117" s="71"/>
      <c r="T117" s="71" t="s">
        <v>79</v>
      </c>
      <c r="U117" s="71"/>
      <c r="V117" s="71"/>
      <c r="W117" s="104"/>
      <c r="X117" s="104"/>
    </row>
    <row r="118" spans="1:24" ht="15" customHeight="1" hidden="1">
      <c r="A118" s="43"/>
      <c r="B118" s="199" t="s">
        <v>80</v>
      </c>
      <c r="C118" s="199" t="s">
        <v>81</v>
      </c>
      <c r="D118" s="199"/>
      <c r="E118" s="199"/>
      <c r="F118" s="199"/>
      <c r="G118" s="199"/>
      <c r="H118" s="199"/>
      <c r="I118" s="118" t="s">
        <v>82</v>
      </c>
      <c r="J118" s="118" t="s">
        <v>83</v>
      </c>
      <c r="K118" s="118" t="s">
        <v>84</v>
      </c>
      <c r="L118" s="199" t="s">
        <v>85</v>
      </c>
      <c r="M118" s="199" t="s">
        <v>86</v>
      </c>
      <c r="N118" s="199" t="s">
        <v>87</v>
      </c>
      <c r="O118" s="199" t="s">
        <v>88</v>
      </c>
      <c r="P118" s="200" t="s">
        <v>89</v>
      </c>
      <c r="Q118" s="199" t="s">
        <v>90</v>
      </c>
      <c r="R118" s="71"/>
      <c r="S118" s="71"/>
      <c r="T118" s="71"/>
      <c r="U118" s="71"/>
      <c r="V118" s="71"/>
      <c r="W118" s="104" t="e">
        <f t="shared" si="16"/>
        <v>#VALUE!</v>
      </c>
      <c r="X118" s="104" t="e">
        <f t="shared" si="17"/>
        <v>#VALUE!</v>
      </c>
    </row>
    <row r="119" spans="1:24" ht="15" customHeight="1" hidden="1">
      <c r="A119" s="43"/>
      <c r="B119" s="199"/>
      <c r="C119" s="199">
        <v>2022.64</v>
      </c>
      <c r="D119" s="199"/>
      <c r="E119" s="199"/>
      <c r="F119" s="199"/>
      <c r="G119" s="199"/>
      <c r="H119" s="199"/>
      <c r="I119" s="126">
        <v>25.35</v>
      </c>
      <c r="J119" s="126">
        <f>I119*1.18</f>
        <v>29.913</v>
      </c>
      <c r="K119" s="226">
        <f>29.913+19.14</f>
        <v>49.053</v>
      </c>
      <c r="L119" s="199"/>
      <c r="M119" s="199"/>
      <c r="N119" s="199"/>
      <c r="O119" s="199"/>
      <c r="P119" s="200"/>
      <c r="Q119" s="199"/>
      <c r="R119" s="71"/>
      <c r="S119" s="71"/>
      <c r="T119" s="71"/>
      <c r="U119" s="71"/>
      <c r="V119" s="71"/>
      <c r="W119" s="104">
        <f t="shared" si="16"/>
        <v>0</v>
      </c>
      <c r="X119" s="104">
        <f t="shared" si="17"/>
        <v>0</v>
      </c>
    </row>
    <row r="120" spans="1:24" ht="15" customHeight="1" hidden="1">
      <c r="A120" s="43"/>
      <c r="B120" s="199"/>
      <c r="C120" s="199" t="s">
        <v>93</v>
      </c>
      <c r="D120" s="199"/>
      <c r="E120" s="199"/>
      <c r="F120" s="199"/>
      <c r="G120" s="199"/>
      <c r="H120" s="199"/>
      <c r="I120" s="118" t="s">
        <v>94</v>
      </c>
      <c r="J120" s="118" t="s">
        <v>83</v>
      </c>
      <c r="K120" s="226"/>
      <c r="L120" s="199"/>
      <c r="M120" s="199"/>
      <c r="N120" s="199"/>
      <c r="O120" s="199"/>
      <c r="P120" s="200"/>
      <c r="Q120" s="199"/>
      <c r="R120" s="71"/>
      <c r="S120" s="71"/>
      <c r="T120" s="71"/>
      <c r="U120" s="71"/>
      <c r="V120" s="71"/>
      <c r="W120" s="104">
        <f t="shared" si="16"/>
        <v>0</v>
      </c>
      <c r="X120" s="104">
        <f t="shared" si="17"/>
        <v>0</v>
      </c>
    </row>
    <row r="121" spans="1:24" ht="15" customHeight="1" hidden="1">
      <c r="A121" s="43"/>
      <c r="B121" s="199"/>
      <c r="C121" s="207">
        <f>C119*1.18</f>
        <v>2386.7152</v>
      </c>
      <c r="D121" s="207"/>
      <c r="E121" s="207"/>
      <c r="F121" s="207"/>
      <c r="G121" s="207"/>
      <c r="H121" s="207"/>
      <c r="I121" s="126">
        <v>16.22</v>
      </c>
      <c r="J121" s="126">
        <f>I121*1.18</f>
        <v>19.139599999999998</v>
      </c>
      <c r="K121" s="226"/>
      <c r="L121" s="199"/>
      <c r="M121" s="199"/>
      <c r="N121" s="199"/>
      <c r="O121" s="199"/>
      <c r="P121" s="200"/>
      <c r="Q121" s="199"/>
      <c r="R121" s="71"/>
      <c r="S121" s="71"/>
      <c r="T121" s="71" t="s">
        <v>95</v>
      </c>
      <c r="U121" s="71"/>
      <c r="V121" s="71"/>
      <c r="W121" s="104">
        <f t="shared" si="16"/>
        <v>0</v>
      </c>
      <c r="X121" s="104">
        <f t="shared" si="17"/>
        <v>0</v>
      </c>
    </row>
    <row r="122" spans="1:24" ht="45" customHeight="1" hidden="1">
      <c r="A122" s="43"/>
      <c r="B122" s="118" t="s">
        <v>96</v>
      </c>
      <c r="C122" s="118" t="s">
        <v>97</v>
      </c>
      <c r="D122" s="118" t="s">
        <v>98</v>
      </c>
      <c r="E122" s="118" t="s">
        <v>99</v>
      </c>
      <c r="F122" s="118" t="s">
        <v>100</v>
      </c>
      <c r="G122" s="118" t="s">
        <v>101</v>
      </c>
      <c r="H122" s="118" t="s">
        <v>90</v>
      </c>
      <c r="I122" s="118" t="s">
        <v>171</v>
      </c>
      <c r="J122" s="118" t="s">
        <v>102</v>
      </c>
      <c r="K122" s="118" t="s">
        <v>90</v>
      </c>
      <c r="L122" s="199"/>
      <c r="M122" s="199"/>
      <c r="N122" s="199"/>
      <c r="O122" s="199"/>
      <c r="P122" s="200"/>
      <c r="Q122" s="199"/>
      <c r="R122" s="71"/>
      <c r="S122" s="71"/>
      <c r="T122" s="71"/>
      <c r="U122" s="71"/>
      <c r="V122" s="71"/>
      <c r="W122" s="104">
        <f t="shared" si="16"/>
        <v>0</v>
      </c>
      <c r="X122" s="104">
        <f t="shared" si="17"/>
        <v>0</v>
      </c>
    </row>
    <row r="123" spans="1:24" ht="15" customHeight="1" hidden="1">
      <c r="A123" s="43"/>
      <c r="B123" s="44" t="s">
        <v>103</v>
      </c>
      <c r="C123" s="64"/>
      <c r="D123" s="64"/>
      <c r="E123" s="65">
        <v>1658.276</v>
      </c>
      <c r="F123" s="65">
        <v>75.837</v>
      </c>
      <c r="G123" s="65">
        <f>F123+E123</f>
        <v>1734.113</v>
      </c>
      <c r="H123" s="60">
        <v>4138833.85</v>
      </c>
      <c r="I123" s="120">
        <v>1219</v>
      </c>
      <c r="J123" s="120">
        <v>2626</v>
      </c>
      <c r="K123" s="120">
        <v>188592.53</v>
      </c>
      <c r="L123" s="120"/>
      <c r="M123" s="120"/>
      <c r="N123" s="120"/>
      <c r="O123" s="120">
        <v>705770</v>
      </c>
      <c r="P123" s="121">
        <v>3.20931</v>
      </c>
      <c r="Q123" s="120">
        <f aca="true" t="shared" si="21" ref="Q123:Q128">P123*O123</f>
        <v>2265034.7187</v>
      </c>
      <c r="R123" s="83">
        <v>72834</v>
      </c>
      <c r="S123" s="127">
        <v>39.422748</v>
      </c>
      <c r="T123" s="71"/>
      <c r="U123" s="71"/>
      <c r="V123" s="71"/>
      <c r="W123" s="104">
        <f t="shared" si="16"/>
        <v>6469.568599847237</v>
      </c>
      <c r="X123" s="104">
        <f t="shared" si="17"/>
        <v>3812.4838120561435</v>
      </c>
    </row>
    <row r="124" spans="1:24" ht="15" customHeight="1" hidden="1">
      <c r="A124" s="43"/>
      <c r="B124" s="44" t="s">
        <v>104</v>
      </c>
      <c r="C124" s="54"/>
      <c r="D124" s="54"/>
      <c r="E124" s="54">
        <v>1391.931</v>
      </c>
      <c r="F124" s="54">
        <v>71.349</v>
      </c>
      <c r="G124" s="54">
        <f>F124+E124+D124+C124</f>
        <v>1463.28</v>
      </c>
      <c r="H124" s="63">
        <v>3492432.71</v>
      </c>
      <c r="I124" s="120">
        <v>1344</v>
      </c>
      <c r="J124" s="120">
        <v>2630.97</v>
      </c>
      <c r="K124" s="120">
        <v>194967.42</v>
      </c>
      <c r="L124" s="124"/>
      <c r="M124" s="124"/>
      <c r="N124" s="124"/>
      <c r="O124" s="120">
        <v>684338</v>
      </c>
      <c r="P124" s="121">
        <v>3.39007</v>
      </c>
      <c r="Q124" s="120">
        <f t="shared" si="21"/>
        <v>2319953.72366</v>
      </c>
      <c r="R124" s="83">
        <v>72834</v>
      </c>
      <c r="S124" s="127">
        <v>39.422748</v>
      </c>
      <c r="T124" s="71"/>
      <c r="U124" s="71"/>
      <c r="V124" s="71"/>
      <c r="W124" s="104">
        <f t="shared" si="16"/>
        <v>6273.108288085719</v>
      </c>
      <c r="X124" s="104">
        <f t="shared" si="17"/>
        <v>3696.7107513423316</v>
      </c>
    </row>
    <row r="125" spans="1:24" ht="15" customHeight="1" hidden="1">
      <c r="A125" s="43"/>
      <c r="B125" s="44" t="s">
        <v>105</v>
      </c>
      <c r="C125" s="54">
        <v>134.72</v>
      </c>
      <c r="D125" s="54"/>
      <c r="E125" s="54">
        <v>1807.271</v>
      </c>
      <c r="F125" s="54">
        <v>82.579</v>
      </c>
      <c r="G125" s="54">
        <f>F125+E125+D125+C125</f>
        <v>2024.57</v>
      </c>
      <c r="H125" s="63">
        <f>4510533.72+321538.27</f>
        <v>4832071.99</v>
      </c>
      <c r="I125" s="120">
        <v>1438</v>
      </c>
      <c r="J125" s="120">
        <v>3154.93</v>
      </c>
      <c r="K125" s="120">
        <v>225277.83</v>
      </c>
      <c r="L125" s="124"/>
      <c r="M125" s="124"/>
      <c r="N125" s="124"/>
      <c r="O125" s="120">
        <v>819162</v>
      </c>
      <c r="P125" s="121">
        <v>3.39864</v>
      </c>
      <c r="Q125" s="120">
        <f t="shared" si="21"/>
        <v>2784036.73968</v>
      </c>
      <c r="R125" s="83">
        <v>77203.1</v>
      </c>
      <c r="S125" s="127">
        <v>40.83940654</v>
      </c>
      <c r="T125" s="71"/>
      <c r="U125" s="71"/>
      <c r="V125" s="71"/>
      <c r="W125" s="104">
        <f t="shared" si="16"/>
        <v>7508.9969159755465</v>
      </c>
      <c r="X125" s="104">
        <f t="shared" si="17"/>
        <v>4425.013622641278</v>
      </c>
    </row>
    <row r="126" spans="1:24" ht="15" customHeight="1" hidden="1">
      <c r="A126" s="43"/>
      <c r="B126" s="44" t="s">
        <v>106</v>
      </c>
      <c r="C126" s="54">
        <v>51.05</v>
      </c>
      <c r="D126" s="54"/>
      <c r="E126" s="54">
        <v>616.51</v>
      </c>
      <c r="F126" s="54">
        <v>104.536</v>
      </c>
      <c r="G126" s="54">
        <f>F126+E126+D126+C126</f>
        <v>772.096</v>
      </c>
      <c r="H126" s="63">
        <v>1720934.39</v>
      </c>
      <c r="I126" s="120">
        <v>1424</v>
      </c>
      <c r="J126" s="120">
        <v>3804.73</v>
      </c>
      <c r="K126" s="120">
        <v>256462.92</v>
      </c>
      <c r="L126" s="124"/>
      <c r="M126" s="124"/>
      <c r="N126" s="124"/>
      <c r="O126" s="120">
        <v>743185</v>
      </c>
      <c r="P126" s="121">
        <v>3.31733</v>
      </c>
      <c r="Q126" s="120">
        <f t="shared" si="21"/>
        <v>2465389.89605</v>
      </c>
      <c r="R126" s="83">
        <v>77203.1</v>
      </c>
      <c r="S126" s="127">
        <v>40.83940654</v>
      </c>
      <c r="T126" s="71"/>
      <c r="U126" s="71"/>
      <c r="V126" s="71"/>
      <c r="W126" s="104">
        <f t="shared" si="16"/>
        <v>6812.53997743949</v>
      </c>
      <c r="X126" s="104">
        <f t="shared" si="17"/>
        <v>4014.595097358835</v>
      </c>
    </row>
    <row r="127" spans="1:24" ht="15" customHeight="1" hidden="1">
      <c r="A127" s="43"/>
      <c r="B127" s="44" t="s">
        <v>107</v>
      </c>
      <c r="C127" s="54"/>
      <c r="D127" s="54"/>
      <c r="E127" s="54"/>
      <c r="F127" s="54">
        <f>111.327+5.59</f>
        <v>116.917</v>
      </c>
      <c r="G127" s="54">
        <f>F127+E127+D127+C127</f>
        <v>116.917</v>
      </c>
      <c r="H127" s="63">
        <v>279047.58</v>
      </c>
      <c r="I127" s="120">
        <v>760</v>
      </c>
      <c r="J127" s="120">
        <v>5948.11</v>
      </c>
      <c r="K127" s="120">
        <v>329024.95</v>
      </c>
      <c r="L127" s="124"/>
      <c r="M127" s="124"/>
      <c r="N127" s="124"/>
      <c r="O127" s="120">
        <v>728311</v>
      </c>
      <c r="P127" s="121">
        <v>3.40847</v>
      </c>
      <c r="Q127" s="120">
        <f t="shared" si="21"/>
        <v>2482426.19417</v>
      </c>
      <c r="R127" s="83">
        <v>87401.8</v>
      </c>
      <c r="S127" s="127">
        <v>46.23438233</v>
      </c>
      <c r="T127" s="71"/>
      <c r="U127" s="71"/>
      <c r="V127" s="71"/>
      <c r="W127" s="104">
        <f t="shared" si="16"/>
        <v>6676.194761074204</v>
      </c>
      <c r="X127" s="104">
        <f t="shared" si="17"/>
        <v>3934.2475560627713</v>
      </c>
    </row>
    <row r="128" spans="1:24" ht="15" customHeight="1" hidden="1">
      <c r="A128" s="43"/>
      <c r="B128" s="44" t="s">
        <v>108</v>
      </c>
      <c r="C128" s="54"/>
      <c r="D128" s="54"/>
      <c r="E128" s="54"/>
      <c r="F128" s="54">
        <f>95.374+5.706</f>
        <v>101.08</v>
      </c>
      <c r="G128" s="54">
        <f>F128+E128+D128+C128</f>
        <v>101.08</v>
      </c>
      <c r="H128" s="63">
        <v>227630.58</v>
      </c>
      <c r="I128" s="120">
        <v>719</v>
      </c>
      <c r="J128" s="120">
        <v>4987.5</v>
      </c>
      <c r="K128" s="120">
        <v>279896.97</v>
      </c>
      <c r="L128" s="124"/>
      <c r="M128" s="124"/>
      <c r="N128" s="124"/>
      <c r="O128" s="120">
        <v>782617</v>
      </c>
      <c r="P128" s="121">
        <v>3.44841</v>
      </c>
      <c r="Q128" s="120">
        <f t="shared" si="21"/>
        <v>2698784.28897</v>
      </c>
      <c r="R128" s="83">
        <v>87401.8</v>
      </c>
      <c r="S128" s="127">
        <v>40.83940654</v>
      </c>
      <c r="T128" s="71"/>
      <c r="U128" s="71"/>
      <c r="V128" s="71"/>
      <c r="W128" s="104">
        <f t="shared" si="16"/>
        <v>7174.000551038787</v>
      </c>
      <c r="X128" s="104">
        <f t="shared" si="17"/>
        <v>4227.601971662076</v>
      </c>
    </row>
    <row r="129" spans="1:24" ht="15" customHeight="1" hidden="1">
      <c r="A129" s="43"/>
      <c r="B129" s="220" t="s">
        <v>109</v>
      </c>
      <c r="C129" s="220" t="s">
        <v>81</v>
      </c>
      <c r="D129" s="220"/>
      <c r="E129" s="220"/>
      <c r="F129" s="220"/>
      <c r="G129" s="220"/>
      <c r="H129" s="220"/>
      <c r="I129" s="118" t="s">
        <v>82</v>
      </c>
      <c r="J129" s="118" t="s">
        <v>83</v>
      </c>
      <c r="K129" s="118" t="s">
        <v>84</v>
      </c>
      <c r="L129" s="199"/>
      <c r="M129" s="199"/>
      <c r="N129" s="228"/>
      <c r="O129" s="228"/>
      <c r="P129" s="223"/>
      <c r="Q129" s="199"/>
      <c r="R129" s="71"/>
      <c r="S129" s="71"/>
      <c r="T129" s="71"/>
      <c r="U129" s="71"/>
      <c r="V129" s="71"/>
      <c r="W129" s="104">
        <f t="shared" si="16"/>
        <v>0</v>
      </c>
      <c r="X129" s="104">
        <f t="shared" si="17"/>
        <v>0</v>
      </c>
    </row>
    <row r="130" spans="1:24" ht="15" customHeight="1" hidden="1">
      <c r="A130" s="43"/>
      <c r="B130" s="220"/>
      <c r="C130" s="220">
        <v>2103.15</v>
      </c>
      <c r="D130" s="220"/>
      <c r="E130" s="220"/>
      <c r="F130" s="220"/>
      <c r="G130" s="220"/>
      <c r="H130" s="220"/>
      <c r="I130" s="126">
        <v>26.61</v>
      </c>
      <c r="J130" s="126">
        <f>I130*1.18</f>
        <v>31.3998</v>
      </c>
      <c r="K130" s="226">
        <f>J132+J130</f>
        <v>51.61319999999999</v>
      </c>
      <c r="L130" s="199"/>
      <c r="M130" s="199"/>
      <c r="N130" s="228"/>
      <c r="O130" s="228"/>
      <c r="P130" s="223"/>
      <c r="Q130" s="199"/>
      <c r="R130" s="71"/>
      <c r="S130" s="71"/>
      <c r="T130" s="71"/>
      <c r="U130" s="71"/>
      <c r="V130" s="71"/>
      <c r="W130" s="104">
        <f t="shared" si="16"/>
        <v>0</v>
      </c>
      <c r="X130" s="104">
        <f t="shared" si="17"/>
        <v>0</v>
      </c>
    </row>
    <row r="131" spans="1:24" ht="15" customHeight="1" hidden="1">
      <c r="A131" s="43"/>
      <c r="B131" s="220"/>
      <c r="C131" s="220" t="s">
        <v>93</v>
      </c>
      <c r="D131" s="220"/>
      <c r="E131" s="220"/>
      <c r="F131" s="220"/>
      <c r="G131" s="220"/>
      <c r="H131" s="220"/>
      <c r="I131" s="118" t="s">
        <v>110</v>
      </c>
      <c r="J131" s="118" t="s">
        <v>83</v>
      </c>
      <c r="K131" s="226"/>
      <c r="L131" s="199"/>
      <c r="M131" s="199"/>
      <c r="N131" s="228"/>
      <c r="O131" s="228"/>
      <c r="P131" s="223"/>
      <c r="Q131" s="199"/>
      <c r="R131" s="71"/>
      <c r="S131" s="71"/>
      <c r="T131" s="71"/>
      <c r="U131" s="71"/>
      <c r="V131" s="71"/>
      <c r="W131" s="104">
        <f t="shared" si="16"/>
        <v>0</v>
      </c>
      <c r="X131" s="104">
        <f t="shared" si="17"/>
        <v>0</v>
      </c>
    </row>
    <row r="132" spans="1:24" ht="15" customHeight="1" hidden="1">
      <c r="A132" s="43"/>
      <c r="B132" s="220"/>
      <c r="C132" s="225">
        <f>C130*1.18</f>
        <v>2481.717</v>
      </c>
      <c r="D132" s="225"/>
      <c r="E132" s="225"/>
      <c r="F132" s="225"/>
      <c r="G132" s="225"/>
      <c r="H132" s="225"/>
      <c r="I132" s="126">
        <v>17.13</v>
      </c>
      <c r="J132" s="126">
        <f>I132*1.18</f>
        <v>20.213399999999996</v>
      </c>
      <c r="K132" s="226"/>
      <c r="L132" s="199"/>
      <c r="M132" s="199"/>
      <c r="N132" s="228"/>
      <c r="O132" s="228"/>
      <c r="P132" s="223"/>
      <c r="Q132" s="199"/>
      <c r="R132" s="71"/>
      <c r="S132" s="71"/>
      <c r="T132" s="71"/>
      <c r="U132" s="71"/>
      <c r="V132" s="71"/>
      <c r="W132" s="104">
        <f t="shared" si="16"/>
        <v>0</v>
      </c>
      <c r="X132" s="104">
        <f t="shared" si="17"/>
        <v>0</v>
      </c>
    </row>
    <row r="133" spans="1:24" ht="15" customHeight="1" hidden="1">
      <c r="A133" s="43"/>
      <c r="B133" s="45" t="s">
        <v>111</v>
      </c>
      <c r="C133" s="45"/>
      <c r="D133" s="45"/>
      <c r="E133" s="57"/>
      <c r="F133" s="46">
        <v>94.264</v>
      </c>
      <c r="G133" s="84">
        <f>F133+E133+D133+C133</f>
        <v>94.264</v>
      </c>
      <c r="H133" s="56">
        <v>233936.57</v>
      </c>
      <c r="I133" s="55">
        <v>1014</v>
      </c>
      <c r="J133" s="55">
        <v>5876.13</v>
      </c>
      <c r="K133" s="55">
        <f>52335.98+303286.84</f>
        <v>355622.82</v>
      </c>
      <c r="L133" s="124"/>
      <c r="M133" s="124"/>
      <c r="N133" s="58"/>
      <c r="O133" s="60">
        <v>832328</v>
      </c>
      <c r="P133" s="121">
        <v>4.06379</v>
      </c>
      <c r="Q133" s="120">
        <f aca="true" t="shared" si="22" ref="Q133:Q138">P133*O133</f>
        <v>3382406.20312</v>
      </c>
      <c r="R133" s="83">
        <v>87401.8</v>
      </c>
      <c r="S133" s="127">
        <v>46.23438233</v>
      </c>
      <c r="T133" s="71"/>
      <c r="U133" s="71"/>
      <c r="V133" s="71"/>
      <c r="W133" s="104">
        <f t="shared" si="16"/>
        <v>7629.68544082867</v>
      </c>
      <c r="X133" s="104">
        <f t="shared" si="17"/>
        <v>4496.134755403412</v>
      </c>
    </row>
    <row r="134" spans="1:24" ht="15" customHeight="1" hidden="1">
      <c r="A134" s="43"/>
      <c r="B134" s="45" t="s">
        <v>112</v>
      </c>
      <c r="C134" s="45"/>
      <c r="D134" s="45"/>
      <c r="E134" s="57"/>
      <c r="F134" s="46">
        <v>93.038</v>
      </c>
      <c r="G134" s="84">
        <f>F134+E134+D134+C134</f>
        <v>93.038</v>
      </c>
      <c r="H134" s="56">
        <v>230893.99</v>
      </c>
      <c r="I134" s="55">
        <v>999</v>
      </c>
      <c r="J134" s="55">
        <v>5397.69</v>
      </c>
      <c r="K134" s="55">
        <f>51561.78+278593.16</f>
        <v>330154.93999999994</v>
      </c>
      <c r="L134" s="124"/>
      <c r="M134" s="124"/>
      <c r="N134" s="58"/>
      <c r="O134" s="60">
        <v>778867</v>
      </c>
      <c r="P134" s="121">
        <v>4.14442</v>
      </c>
      <c r="Q134" s="120">
        <f t="shared" si="22"/>
        <v>3227951.97214</v>
      </c>
      <c r="R134" s="83">
        <v>87401.8</v>
      </c>
      <c r="S134" s="127">
        <v>46.23438233</v>
      </c>
      <c r="T134" s="71"/>
      <c r="U134" s="71"/>
      <c r="V134" s="71"/>
      <c r="W134" s="104">
        <f t="shared" si="16"/>
        <v>7139.62549648925</v>
      </c>
      <c r="X134" s="104">
        <f t="shared" si="17"/>
        <v>4207.344927164278</v>
      </c>
    </row>
    <row r="135" spans="1:24" ht="15" customHeight="1" hidden="1">
      <c r="A135" s="43"/>
      <c r="B135" s="44" t="s">
        <v>113</v>
      </c>
      <c r="C135" s="44"/>
      <c r="D135" s="44"/>
      <c r="E135" s="61"/>
      <c r="F135" s="47">
        <v>106.075</v>
      </c>
      <c r="G135" s="54">
        <f>F135+E135+D135+C135</f>
        <v>106.075</v>
      </c>
      <c r="H135" s="60">
        <v>263248.14</v>
      </c>
      <c r="I135" s="120">
        <v>720</v>
      </c>
      <c r="J135" s="120">
        <v>3343.61</v>
      </c>
      <c r="K135" s="120">
        <v>209736.6</v>
      </c>
      <c r="L135" s="124"/>
      <c r="M135" s="124"/>
      <c r="N135" s="58"/>
      <c r="O135" s="60">
        <v>646577</v>
      </c>
      <c r="P135" s="121">
        <v>3.75833</v>
      </c>
      <c r="Q135" s="120">
        <f t="shared" si="22"/>
        <v>2430049.73641</v>
      </c>
      <c r="R135" s="83">
        <v>87401.8</v>
      </c>
      <c r="S135" s="127">
        <v>46.23438233</v>
      </c>
      <c r="T135" s="71"/>
      <c r="U135" s="71"/>
      <c r="V135" s="71"/>
      <c r="W135" s="104">
        <f t="shared" si="16"/>
        <v>5926.965238793696</v>
      </c>
      <c r="X135" s="104">
        <f t="shared" si="17"/>
        <v>3492.7304160673098</v>
      </c>
    </row>
    <row r="136" spans="1:24" ht="15" customHeight="1" hidden="1">
      <c r="A136" s="43"/>
      <c r="B136" s="44" t="s">
        <v>114</v>
      </c>
      <c r="C136" s="44"/>
      <c r="D136" s="44"/>
      <c r="E136" s="61">
        <v>1285.481</v>
      </c>
      <c r="F136" s="47">
        <v>89.516</v>
      </c>
      <c r="G136" s="54">
        <f>F136+E136+D136+C136</f>
        <v>1374.997</v>
      </c>
      <c r="H136" s="60">
        <v>3412352.71</v>
      </c>
      <c r="I136" s="60">
        <v>905</v>
      </c>
      <c r="J136" s="120">
        <v>4620.23</v>
      </c>
      <c r="K136" s="120">
        <v>285175.69</v>
      </c>
      <c r="L136" s="124"/>
      <c r="M136" s="124"/>
      <c r="N136" s="58"/>
      <c r="O136" s="60">
        <v>651110</v>
      </c>
      <c r="P136" s="121">
        <v>3.19572</v>
      </c>
      <c r="Q136" s="120">
        <f t="shared" si="22"/>
        <v>2080765.2492</v>
      </c>
      <c r="R136" s="83">
        <v>87401.8</v>
      </c>
      <c r="S136" s="127">
        <v>46.23438233</v>
      </c>
      <c r="T136" s="71"/>
      <c r="U136" s="71"/>
      <c r="V136" s="71"/>
      <c r="W136" s="104">
        <f t="shared" si="16"/>
        <v>5968.517804733177</v>
      </c>
      <c r="X136" s="104">
        <f t="shared" si="17"/>
        <v>3517.2171314562474</v>
      </c>
    </row>
    <row r="137" spans="1:24" ht="15" customHeight="1" hidden="1">
      <c r="A137" s="43"/>
      <c r="B137" s="44" t="s">
        <v>115</v>
      </c>
      <c r="C137" s="44"/>
      <c r="D137" s="44"/>
      <c r="E137" s="61">
        <v>1246.274</v>
      </c>
      <c r="F137" s="47">
        <v>94.009</v>
      </c>
      <c r="G137" s="54">
        <f>F137+E137+D137+C137</f>
        <v>1340.283</v>
      </c>
      <c r="H137" s="120">
        <v>3326201.87</v>
      </c>
      <c r="I137" s="120">
        <v>1099</v>
      </c>
      <c r="J137" s="120">
        <v>4085.73</v>
      </c>
      <c r="K137" s="120">
        <f>56723.11+210878.31</f>
        <v>267601.42</v>
      </c>
      <c r="L137" s="124"/>
      <c r="M137" s="124"/>
      <c r="N137" s="124"/>
      <c r="O137" s="124">
        <v>625642</v>
      </c>
      <c r="P137" s="78"/>
      <c r="Q137" s="120">
        <f t="shared" si="22"/>
        <v>0</v>
      </c>
      <c r="R137" s="83">
        <v>87401.8</v>
      </c>
      <c r="S137" s="127">
        <v>46.23438233</v>
      </c>
      <c r="T137" s="71"/>
      <c r="U137" s="71"/>
      <c r="V137" s="71"/>
      <c r="W137" s="104">
        <f t="shared" si="16"/>
        <v>5735.060767595144</v>
      </c>
      <c r="X137" s="104">
        <f t="shared" si="17"/>
        <v>3379.642088984272</v>
      </c>
    </row>
    <row r="138" spans="1:24" ht="15" customHeight="1" hidden="1">
      <c r="A138" s="43"/>
      <c r="B138" s="44" t="s">
        <v>116</v>
      </c>
      <c r="C138" s="44"/>
      <c r="D138" s="44"/>
      <c r="E138" s="61">
        <v>1524.888</v>
      </c>
      <c r="F138" s="47">
        <v>120.166</v>
      </c>
      <c r="G138" s="54">
        <v>1645.055</v>
      </c>
      <c r="H138" s="120">
        <v>4082559.9</v>
      </c>
      <c r="I138" s="120">
        <v>1038</v>
      </c>
      <c r="J138" s="120">
        <v>4300.22</v>
      </c>
      <c r="K138" s="120">
        <f>53574.7+221948.92</f>
        <v>275523.62</v>
      </c>
      <c r="L138" s="124"/>
      <c r="M138" s="124"/>
      <c r="N138" s="124"/>
      <c r="O138" s="124">
        <v>802008</v>
      </c>
      <c r="P138" s="78"/>
      <c r="Q138" s="120">
        <f t="shared" si="22"/>
        <v>0</v>
      </c>
      <c r="R138" s="83">
        <v>87401.8</v>
      </c>
      <c r="S138" s="127">
        <v>46.23438233</v>
      </c>
      <c r="T138" s="71"/>
      <c r="U138" s="71"/>
      <c r="V138" s="71"/>
      <c r="W138" s="104">
        <f t="shared" si="16"/>
        <v>7351.751666444142</v>
      </c>
      <c r="X138" s="104">
        <f t="shared" si="17"/>
        <v>4332.349798290553</v>
      </c>
    </row>
    <row r="139" spans="1:24" ht="15" customHeight="1">
      <c r="A139" s="43"/>
      <c r="B139" s="118" t="s">
        <v>117</v>
      </c>
      <c r="C139" s="59">
        <f aca="true" t="shared" si="23" ref="C139:K139">C138+C137+C136+C135+C134+C133+C128+C127+C126+C125+C124+C123</f>
        <v>185.76999999999998</v>
      </c>
      <c r="D139" s="124">
        <f t="shared" si="23"/>
        <v>0</v>
      </c>
      <c r="E139" s="59">
        <f t="shared" si="23"/>
        <v>9530.631</v>
      </c>
      <c r="F139" s="48">
        <f t="shared" si="23"/>
        <v>1149.366</v>
      </c>
      <c r="G139" s="75">
        <f t="shared" si="23"/>
        <v>10865.768</v>
      </c>
      <c r="H139" s="124">
        <f t="shared" si="23"/>
        <v>26240144.280000005</v>
      </c>
      <c r="I139" s="124">
        <f t="shared" si="23"/>
        <v>12679</v>
      </c>
      <c r="J139" s="124">
        <f t="shared" si="23"/>
        <v>50775.850000000006</v>
      </c>
      <c r="K139" s="124">
        <f t="shared" si="23"/>
        <v>3198037.71</v>
      </c>
      <c r="L139" s="58"/>
      <c r="M139" s="58"/>
      <c r="N139" s="124"/>
      <c r="O139" s="79">
        <v>674913</v>
      </c>
      <c r="P139" s="78"/>
      <c r="Q139" s="58"/>
      <c r="R139" s="71"/>
      <c r="S139" s="71"/>
      <c r="T139" s="71"/>
      <c r="U139" s="71"/>
      <c r="V139" s="71">
        <v>1700</v>
      </c>
      <c r="W139" s="104">
        <f t="shared" si="16"/>
        <v>6186.712317651215</v>
      </c>
      <c r="X139" s="104">
        <f t="shared" si="17"/>
        <v>3645.7980461712004</v>
      </c>
    </row>
    <row r="140" spans="1:24" ht="15" customHeight="1">
      <c r="A140" s="42">
        <v>7</v>
      </c>
      <c r="B140" s="227" t="s">
        <v>52</v>
      </c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71"/>
      <c r="S140" s="71"/>
      <c r="T140" s="71" t="s">
        <v>79</v>
      </c>
      <c r="U140" s="71"/>
      <c r="V140" s="71"/>
      <c r="W140" s="104"/>
      <c r="X140" s="104"/>
    </row>
    <row r="141" spans="1:24" ht="15" customHeight="1" hidden="1">
      <c r="A141" s="43"/>
      <c r="B141" s="199" t="s">
        <v>80</v>
      </c>
      <c r="C141" s="199" t="s">
        <v>81</v>
      </c>
      <c r="D141" s="199"/>
      <c r="E141" s="199"/>
      <c r="F141" s="199"/>
      <c r="G141" s="199"/>
      <c r="H141" s="199"/>
      <c r="I141" s="118" t="s">
        <v>82</v>
      </c>
      <c r="J141" s="118" t="s">
        <v>83</v>
      </c>
      <c r="K141" s="118" t="s">
        <v>84</v>
      </c>
      <c r="L141" s="199" t="s">
        <v>85</v>
      </c>
      <c r="M141" s="199" t="s">
        <v>86</v>
      </c>
      <c r="N141" s="199" t="s">
        <v>87</v>
      </c>
      <c r="O141" s="199" t="s">
        <v>88</v>
      </c>
      <c r="P141" s="200" t="s">
        <v>89</v>
      </c>
      <c r="Q141" s="199" t="s">
        <v>90</v>
      </c>
      <c r="R141" s="71"/>
      <c r="S141" s="71"/>
      <c r="T141" s="71"/>
      <c r="U141" s="71"/>
      <c r="V141" s="71"/>
      <c r="W141" s="104" t="e">
        <f t="shared" si="16"/>
        <v>#VALUE!</v>
      </c>
      <c r="X141" s="104" t="e">
        <f t="shared" si="17"/>
        <v>#VALUE!</v>
      </c>
    </row>
    <row r="142" spans="1:24" ht="15" customHeight="1" hidden="1">
      <c r="A142" s="43"/>
      <c r="B142" s="199"/>
      <c r="C142" s="199">
        <v>2022.64</v>
      </c>
      <c r="D142" s="199"/>
      <c r="E142" s="199"/>
      <c r="F142" s="199"/>
      <c r="G142" s="199"/>
      <c r="H142" s="199"/>
      <c r="I142" s="126">
        <v>25.35</v>
      </c>
      <c r="J142" s="126">
        <f>I142*1.18</f>
        <v>29.913</v>
      </c>
      <c r="K142" s="226">
        <f>29.913+19.14</f>
        <v>49.053</v>
      </c>
      <c r="L142" s="199"/>
      <c r="M142" s="199"/>
      <c r="N142" s="199"/>
      <c r="O142" s="199"/>
      <c r="P142" s="200"/>
      <c r="Q142" s="199"/>
      <c r="R142" s="71"/>
      <c r="S142" s="71"/>
      <c r="T142" s="71"/>
      <c r="U142" s="71"/>
      <c r="V142" s="71"/>
      <c r="W142" s="104">
        <f t="shared" si="16"/>
        <v>0</v>
      </c>
      <c r="X142" s="104">
        <f t="shared" si="17"/>
        <v>0</v>
      </c>
    </row>
    <row r="143" spans="1:24" ht="15" customHeight="1" hidden="1">
      <c r="A143" s="43"/>
      <c r="B143" s="199"/>
      <c r="C143" s="199" t="s">
        <v>93</v>
      </c>
      <c r="D143" s="199"/>
      <c r="E143" s="199"/>
      <c r="F143" s="199"/>
      <c r="G143" s="199"/>
      <c r="H143" s="199"/>
      <c r="I143" s="118" t="s">
        <v>94</v>
      </c>
      <c r="J143" s="118" t="s">
        <v>83</v>
      </c>
      <c r="K143" s="226"/>
      <c r="L143" s="199"/>
      <c r="M143" s="199"/>
      <c r="N143" s="199"/>
      <c r="O143" s="199"/>
      <c r="P143" s="200"/>
      <c r="Q143" s="199"/>
      <c r="R143" s="71"/>
      <c r="S143" s="71"/>
      <c r="T143" s="71"/>
      <c r="U143" s="71"/>
      <c r="V143" s="71"/>
      <c r="W143" s="104">
        <f t="shared" si="16"/>
        <v>0</v>
      </c>
      <c r="X143" s="104">
        <f t="shared" si="17"/>
        <v>0</v>
      </c>
    </row>
    <row r="144" spans="1:24" ht="15" customHeight="1" hidden="1">
      <c r="A144" s="43"/>
      <c r="B144" s="199"/>
      <c r="C144" s="207">
        <f>C142*1.18</f>
        <v>2386.7152</v>
      </c>
      <c r="D144" s="207"/>
      <c r="E144" s="207"/>
      <c r="F144" s="207"/>
      <c r="G144" s="207"/>
      <c r="H144" s="207"/>
      <c r="I144" s="126">
        <v>16.22</v>
      </c>
      <c r="J144" s="126">
        <f>I144*1.18</f>
        <v>19.139599999999998</v>
      </c>
      <c r="K144" s="226"/>
      <c r="L144" s="199"/>
      <c r="M144" s="199"/>
      <c r="N144" s="199"/>
      <c r="O144" s="199"/>
      <c r="P144" s="200"/>
      <c r="Q144" s="199"/>
      <c r="R144" s="71"/>
      <c r="S144" s="71"/>
      <c r="T144" s="71" t="s">
        <v>95</v>
      </c>
      <c r="U144" s="71"/>
      <c r="V144" s="71"/>
      <c r="W144" s="104">
        <f t="shared" si="16"/>
        <v>0</v>
      </c>
      <c r="X144" s="104">
        <f t="shared" si="17"/>
        <v>0</v>
      </c>
    </row>
    <row r="145" spans="1:24" ht="45" customHeight="1" hidden="1">
      <c r="A145" s="43"/>
      <c r="B145" s="118" t="s">
        <v>96</v>
      </c>
      <c r="C145" s="118" t="s">
        <v>97</v>
      </c>
      <c r="D145" s="118" t="s">
        <v>98</v>
      </c>
      <c r="E145" s="118" t="s">
        <v>99</v>
      </c>
      <c r="F145" s="118" t="s">
        <v>100</v>
      </c>
      <c r="G145" s="118" t="s">
        <v>101</v>
      </c>
      <c r="H145" s="118" t="s">
        <v>90</v>
      </c>
      <c r="I145" s="118" t="s">
        <v>171</v>
      </c>
      <c r="J145" s="118" t="s">
        <v>102</v>
      </c>
      <c r="K145" s="118" t="s">
        <v>90</v>
      </c>
      <c r="L145" s="199"/>
      <c r="M145" s="199"/>
      <c r="N145" s="199"/>
      <c r="O145" s="199"/>
      <c r="P145" s="200"/>
      <c r="Q145" s="199"/>
      <c r="R145" s="71"/>
      <c r="S145" s="71"/>
      <c r="T145" s="71"/>
      <c r="U145" s="71"/>
      <c r="V145" s="71"/>
      <c r="W145" s="104">
        <f t="shared" si="16"/>
        <v>0</v>
      </c>
      <c r="X145" s="104">
        <f t="shared" si="17"/>
        <v>0</v>
      </c>
    </row>
    <row r="146" spans="1:24" ht="15" customHeight="1" hidden="1">
      <c r="A146" s="43"/>
      <c r="B146" s="44" t="s">
        <v>103</v>
      </c>
      <c r="C146" s="44"/>
      <c r="D146" s="44"/>
      <c r="E146" s="62">
        <v>34.114</v>
      </c>
      <c r="F146" s="62">
        <v>1.56</v>
      </c>
      <c r="G146" s="62">
        <f aca="true" t="shared" si="24" ref="G146:G151">F146+E146</f>
        <v>35.674</v>
      </c>
      <c r="H146" s="60">
        <v>85143.68</v>
      </c>
      <c r="I146" s="120"/>
      <c r="J146" s="120">
        <v>67.66</v>
      </c>
      <c r="K146" s="120">
        <v>3318.65</v>
      </c>
      <c r="L146" s="120"/>
      <c r="M146" s="120"/>
      <c r="N146" s="120"/>
      <c r="O146" s="120">
        <v>14870</v>
      </c>
      <c r="P146" s="121">
        <v>3.20931</v>
      </c>
      <c r="Q146" s="120">
        <f aca="true" t="shared" si="25" ref="Q146:Q151">P146*O146</f>
        <v>47722.439699999995</v>
      </c>
      <c r="R146" s="127">
        <v>1534.6</v>
      </c>
      <c r="S146" s="127">
        <v>0.830630599</v>
      </c>
      <c r="T146" s="71"/>
      <c r="U146" s="71"/>
      <c r="V146" s="71"/>
      <c r="W146" s="104">
        <f t="shared" si="16"/>
        <v>136.308549640433</v>
      </c>
      <c r="X146" s="104">
        <f t="shared" si="17"/>
        <v>80.325933781933</v>
      </c>
    </row>
    <row r="147" spans="1:24" ht="15" customHeight="1" hidden="1">
      <c r="A147" s="43"/>
      <c r="B147" s="44" t="s">
        <v>104</v>
      </c>
      <c r="C147" s="44"/>
      <c r="D147" s="44"/>
      <c r="E147" s="44">
        <v>28.635</v>
      </c>
      <c r="F147" s="44">
        <v>1.468</v>
      </c>
      <c r="G147" s="62">
        <f t="shared" si="24"/>
        <v>30.103</v>
      </c>
      <c r="H147" s="44">
        <v>71847.29</v>
      </c>
      <c r="I147" s="120"/>
      <c r="J147" s="120">
        <v>67.76</v>
      </c>
      <c r="K147" s="120">
        <v>3324.93</v>
      </c>
      <c r="L147" s="124"/>
      <c r="M147" s="124"/>
      <c r="N147" s="124"/>
      <c r="O147" s="120">
        <v>14419</v>
      </c>
      <c r="P147" s="121">
        <v>3.39007</v>
      </c>
      <c r="Q147" s="120">
        <f t="shared" si="25"/>
        <v>48881.419330000004</v>
      </c>
      <c r="R147" s="127">
        <v>1534.6</v>
      </c>
      <c r="S147" s="127">
        <v>0.830630599</v>
      </c>
      <c r="T147" s="71"/>
      <c r="U147" s="71"/>
      <c r="V147" s="71"/>
      <c r="W147" s="104">
        <f t="shared" si="16"/>
        <v>132.1743764132753</v>
      </c>
      <c r="X147" s="104">
        <f t="shared" si="17"/>
        <v>77.88968656366455</v>
      </c>
    </row>
    <row r="148" spans="1:24" ht="15" customHeight="1" hidden="1">
      <c r="A148" s="43"/>
      <c r="B148" s="44" t="s">
        <v>105</v>
      </c>
      <c r="C148" s="44"/>
      <c r="D148" s="44"/>
      <c r="E148" s="44">
        <v>37.179</v>
      </c>
      <c r="F148" s="44">
        <v>1.699</v>
      </c>
      <c r="G148" s="62">
        <f t="shared" si="24"/>
        <v>38.878</v>
      </c>
      <c r="H148" s="44">
        <v>62790.72</v>
      </c>
      <c r="I148" s="120"/>
      <c r="J148" s="120">
        <v>81.29</v>
      </c>
      <c r="K148" s="120">
        <v>3987.1</v>
      </c>
      <c r="L148" s="124"/>
      <c r="M148" s="124"/>
      <c r="N148" s="124"/>
      <c r="O148" s="120">
        <v>16283</v>
      </c>
      <c r="P148" s="121">
        <v>3.39864</v>
      </c>
      <c r="Q148" s="120">
        <f t="shared" si="25"/>
        <v>55340.05512</v>
      </c>
      <c r="R148" s="127">
        <v>1534.6</v>
      </c>
      <c r="S148" s="127">
        <v>0.811782859</v>
      </c>
      <c r="T148" s="71"/>
      <c r="U148" s="71"/>
      <c r="V148" s="71"/>
      <c r="W148" s="104">
        <f t="shared" si="16"/>
        <v>149.26107019469876</v>
      </c>
      <c r="X148" s="104">
        <f t="shared" si="17"/>
        <v>87.9587881487031</v>
      </c>
    </row>
    <row r="149" spans="1:24" ht="15" customHeight="1" hidden="1">
      <c r="A149" s="43"/>
      <c r="B149" s="44" t="s">
        <v>106</v>
      </c>
      <c r="C149" s="44"/>
      <c r="D149" s="44"/>
      <c r="E149" s="44">
        <v>12.683</v>
      </c>
      <c r="F149" s="44">
        <v>2.151</v>
      </c>
      <c r="G149" s="62">
        <f t="shared" si="24"/>
        <v>14.834</v>
      </c>
      <c r="H149" s="44">
        <v>35404.59</v>
      </c>
      <c r="I149" s="120"/>
      <c r="J149" s="120">
        <v>98.03</v>
      </c>
      <c r="K149" s="120">
        <v>4808.29</v>
      </c>
      <c r="L149" s="124"/>
      <c r="M149" s="124"/>
      <c r="N149" s="124"/>
      <c r="O149" s="120">
        <v>14773</v>
      </c>
      <c r="P149" s="121">
        <v>3.31733</v>
      </c>
      <c r="Q149" s="120">
        <f t="shared" si="25"/>
        <v>49006.91609</v>
      </c>
      <c r="R149" s="127">
        <v>1534.6</v>
      </c>
      <c r="S149" s="127">
        <v>0.811782859</v>
      </c>
      <c r="T149" s="71"/>
      <c r="U149" s="71"/>
      <c r="V149" s="71"/>
      <c r="W149" s="104">
        <f t="shared" si="16"/>
        <v>135.41938156275162</v>
      </c>
      <c r="X149" s="104">
        <f t="shared" si="17"/>
        <v>79.80195156425664</v>
      </c>
    </row>
    <row r="150" spans="1:24" ht="15" customHeight="1" hidden="1">
      <c r="A150" s="43"/>
      <c r="B150" s="44" t="s">
        <v>107</v>
      </c>
      <c r="C150" s="44"/>
      <c r="D150" s="44"/>
      <c r="E150" s="44"/>
      <c r="F150" s="44">
        <v>2.29</v>
      </c>
      <c r="G150" s="62">
        <f t="shared" si="24"/>
        <v>2.29</v>
      </c>
      <c r="H150" s="44">
        <v>5465.57</v>
      </c>
      <c r="I150" s="120"/>
      <c r="J150" s="120">
        <v>134.02</v>
      </c>
      <c r="K150" s="120">
        <v>6573.29</v>
      </c>
      <c r="L150" s="124"/>
      <c r="M150" s="124"/>
      <c r="N150" s="124"/>
      <c r="O150" s="120">
        <v>12788</v>
      </c>
      <c r="P150" s="121">
        <v>3.40847</v>
      </c>
      <c r="Q150" s="120">
        <f t="shared" si="25"/>
        <v>43587.51436</v>
      </c>
      <c r="R150" s="127">
        <v>1534.6</v>
      </c>
      <c r="S150" s="127">
        <v>0.811782859</v>
      </c>
      <c r="T150" s="71"/>
      <c r="U150" s="71"/>
      <c r="V150" s="71"/>
      <c r="W150" s="104">
        <f t="shared" si="16"/>
        <v>117.22351935452974</v>
      </c>
      <c r="X150" s="104">
        <f t="shared" si="17"/>
        <v>69.07922267675583</v>
      </c>
    </row>
    <row r="151" spans="1:24" ht="15" customHeight="1" hidden="1">
      <c r="A151" s="43"/>
      <c r="B151" s="44" t="s">
        <v>108</v>
      </c>
      <c r="C151" s="44"/>
      <c r="D151" s="44"/>
      <c r="E151" s="44"/>
      <c r="F151" s="44">
        <v>1.962</v>
      </c>
      <c r="G151" s="62">
        <f t="shared" si="24"/>
        <v>1.962</v>
      </c>
      <c r="H151" s="44">
        <v>4682.74</v>
      </c>
      <c r="I151" s="120"/>
      <c r="J151" s="120">
        <v>112.37</v>
      </c>
      <c r="K151" s="120">
        <v>5511.71</v>
      </c>
      <c r="L151" s="124"/>
      <c r="M151" s="124"/>
      <c r="N151" s="124"/>
      <c r="O151" s="120">
        <v>13741</v>
      </c>
      <c r="P151" s="121">
        <v>3.44841</v>
      </c>
      <c r="Q151" s="120">
        <f t="shared" si="25"/>
        <v>47384.60181</v>
      </c>
      <c r="R151" s="127">
        <v>1534.6</v>
      </c>
      <c r="S151" s="127">
        <v>0.811782859</v>
      </c>
      <c r="T151" s="71"/>
      <c r="U151" s="71"/>
      <c r="V151" s="71"/>
      <c r="W151" s="104">
        <f t="shared" si="16"/>
        <v>125.9593665507189</v>
      </c>
      <c r="X151" s="104">
        <f t="shared" si="17"/>
        <v>74.22721291846277</v>
      </c>
    </row>
    <row r="152" spans="1:24" ht="15" customHeight="1" hidden="1">
      <c r="A152" s="43"/>
      <c r="B152" s="220" t="s">
        <v>109</v>
      </c>
      <c r="C152" s="220" t="s">
        <v>81</v>
      </c>
      <c r="D152" s="220"/>
      <c r="E152" s="220"/>
      <c r="F152" s="220"/>
      <c r="G152" s="220"/>
      <c r="H152" s="220"/>
      <c r="I152" s="118" t="s">
        <v>82</v>
      </c>
      <c r="J152" s="118" t="s">
        <v>83</v>
      </c>
      <c r="K152" s="118" t="s">
        <v>84</v>
      </c>
      <c r="L152" s="199"/>
      <c r="M152" s="199"/>
      <c r="N152" s="228"/>
      <c r="O152" s="228"/>
      <c r="P152" s="223"/>
      <c r="Q152" s="199"/>
      <c r="R152" s="71"/>
      <c r="S152" s="71"/>
      <c r="T152" s="71"/>
      <c r="U152" s="71"/>
      <c r="V152" s="71"/>
      <c r="W152" s="104">
        <f t="shared" si="16"/>
        <v>0</v>
      </c>
      <c r="X152" s="104">
        <f t="shared" si="17"/>
        <v>0</v>
      </c>
    </row>
    <row r="153" spans="1:24" ht="15" customHeight="1" hidden="1">
      <c r="A153" s="43"/>
      <c r="B153" s="220"/>
      <c r="C153" s="220">
        <v>2103.15</v>
      </c>
      <c r="D153" s="220"/>
      <c r="E153" s="220"/>
      <c r="F153" s="220"/>
      <c r="G153" s="220"/>
      <c r="H153" s="220"/>
      <c r="I153" s="126">
        <v>26.61</v>
      </c>
      <c r="J153" s="126">
        <f>I153*1.18</f>
        <v>31.3998</v>
      </c>
      <c r="K153" s="226">
        <f>J155+J153</f>
        <v>51.61319999999999</v>
      </c>
      <c r="L153" s="199"/>
      <c r="M153" s="199"/>
      <c r="N153" s="228"/>
      <c r="O153" s="228"/>
      <c r="P153" s="223"/>
      <c r="Q153" s="199"/>
      <c r="R153" s="71"/>
      <c r="S153" s="71"/>
      <c r="T153" s="71"/>
      <c r="U153" s="71"/>
      <c r="V153" s="71"/>
      <c r="W153" s="104">
        <f t="shared" si="16"/>
        <v>0</v>
      </c>
      <c r="X153" s="104">
        <f t="shared" si="17"/>
        <v>0</v>
      </c>
    </row>
    <row r="154" spans="1:24" ht="15" customHeight="1" hidden="1">
      <c r="A154" s="43"/>
      <c r="B154" s="220"/>
      <c r="C154" s="220" t="s">
        <v>93</v>
      </c>
      <c r="D154" s="220"/>
      <c r="E154" s="220"/>
      <c r="F154" s="220"/>
      <c r="G154" s="220"/>
      <c r="H154" s="220"/>
      <c r="I154" s="118" t="s">
        <v>110</v>
      </c>
      <c r="J154" s="118" t="s">
        <v>83</v>
      </c>
      <c r="K154" s="226"/>
      <c r="L154" s="199"/>
      <c r="M154" s="199"/>
      <c r="N154" s="228"/>
      <c r="O154" s="228"/>
      <c r="P154" s="223"/>
      <c r="Q154" s="199"/>
      <c r="R154" s="71"/>
      <c r="S154" s="71"/>
      <c r="T154" s="71"/>
      <c r="U154" s="71"/>
      <c r="V154" s="71"/>
      <c r="W154" s="104">
        <f aca="true" t="shared" si="26" ref="W154:W217">O154*$W$456/$O$456</f>
        <v>0</v>
      </c>
      <c r="X154" s="104">
        <f aca="true" t="shared" si="27" ref="X154:X217">O154*$X$456/$O$456</f>
        <v>0</v>
      </c>
    </row>
    <row r="155" spans="1:24" ht="15" customHeight="1" hidden="1">
      <c r="A155" s="43"/>
      <c r="B155" s="220"/>
      <c r="C155" s="225">
        <f>C153*1.18</f>
        <v>2481.717</v>
      </c>
      <c r="D155" s="225"/>
      <c r="E155" s="225"/>
      <c r="F155" s="225"/>
      <c r="G155" s="225"/>
      <c r="H155" s="225"/>
      <c r="I155" s="126">
        <v>17.13</v>
      </c>
      <c r="J155" s="126">
        <f>I155*1.18</f>
        <v>20.213399999999996</v>
      </c>
      <c r="K155" s="226"/>
      <c r="L155" s="199"/>
      <c r="M155" s="199"/>
      <c r="N155" s="228"/>
      <c r="O155" s="228"/>
      <c r="P155" s="223"/>
      <c r="Q155" s="199"/>
      <c r="R155" s="71"/>
      <c r="S155" s="71"/>
      <c r="T155" s="71"/>
      <c r="U155" s="71"/>
      <c r="V155" s="71"/>
      <c r="W155" s="104">
        <f t="shared" si="26"/>
        <v>0</v>
      </c>
      <c r="X155" s="104">
        <f t="shared" si="27"/>
        <v>0</v>
      </c>
    </row>
    <row r="156" spans="1:24" ht="15" customHeight="1" hidden="1">
      <c r="A156" s="43"/>
      <c r="B156" s="45" t="s">
        <v>111</v>
      </c>
      <c r="C156" s="45"/>
      <c r="D156" s="45"/>
      <c r="E156" s="55"/>
      <c r="F156" s="85">
        <v>1.939</v>
      </c>
      <c r="G156" s="86">
        <f aca="true" t="shared" si="28" ref="G156:G161">F156+E156</f>
        <v>1.939</v>
      </c>
      <c r="H156" s="56">
        <v>4812.05</v>
      </c>
      <c r="I156" s="55"/>
      <c r="J156" s="55">
        <v>132.39</v>
      </c>
      <c r="K156" s="55">
        <v>6833.28</v>
      </c>
      <c r="L156" s="124"/>
      <c r="M156" s="124"/>
      <c r="N156" s="58"/>
      <c r="O156" s="60">
        <v>14614</v>
      </c>
      <c r="P156" s="121">
        <v>4.06379</v>
      </c>
      <c r="Q156" s="120">
        <f aca="true" t="shared" si="29" ref="Q156:Q161">P156*O156</f>
        <v>59388.22706</v>
      </c>
      <c r="R156" s="127">
        <v>1534.6</v>
      </c>
      <c r="S156" s="127">
        <v>0.811782859</v>
      </c>
      <c r="T156" s="71"/>
      <c r="U156" s="71"/>
      <c r="V156" s="71"/>
      <c r="W156" s="104">
        <f t="shared" si="26"/>
        <v>133.96187924985125</v>
      </c>
      <c r="X156" s="104">
        <f t="shared" si="27"/>
        <v>78.94305287755003</v>
      </c>
    </row>
    <row r="157" spans="1:24" ht="15" customHeight="1" hidden="1">
      <c r="A157" s="43"/>
      <c r="B157" s="45" t="s">
        <v>112</v>
      </c>
      <c r="C157" s="45"/>
      <c r="D157" s="45"/>
      <c r="E157" s="56"/>
      <c r="F157" s="85">
        <v>1.807</v>
      </c>
      <c r="G157" s="86">
        <f t="shared" si="28"/>
        <v>1.807</v>
      </c>
      <c r="H157" s="56">
        <v>4484.46</v>
      </c>
      <c r="I157" s="55"/>
      <c r="J157" s="55">
        <v>121.61</v>
      </c>
      <c r="K157" s="55">
        <v>6276.91</v>
      </c>
      <c r="L157" s="124"/>
      <c r="M157" s="124"/>
      <c r="N157" s="58"/>
      <c r="O157" s="60">
        <v>13675</v>
      </c>
      <c r="P157" s="121">
        <v>4.14442</v>
      </c>
      <c r="Q157" s="120">
        <f t="shared" si="29"/>
        <v>56674.9435</v>
      </c>
      <c r="R157" s="127">
        <v>1534.6</v>
      </c>
      <c r="S157" s="127">
        <v>0.811782859</v>
      </c>
      <c r="T157" s="71"/>
      <c r="U157" s="71"/>
      <c r="V157" s="71"/>
      <c r="W157" s="104">
        <f t="shared" si="26"/>
        <v>125.35436559064703</v>
      </c>
      <c r="X157" s="104">
        <f t="shared" si="27"/>
        <v>73.87068893530153</v>
      </c>
    </row>
    <row r="158" spans="1:24" ht="15" customHeight="1" hidden="1">
      <c r="A158" s="43"/>
      <c r="B158" s="44" t="s">
        <v>113</v>
      </c>
      <c r="C158" s="44"/>
      <c r="D158" s="44"/>
      <c r="E158" s="60"/>
      <c r="F158" s="65">
        <v>2.06</v>
      </c>
      <c r="G158" s="62">
        <f t="shared" si="28"/>
        <v>2.06</v>
      </c>
      <c r="H158" s="60">
        <v>5112.34</v>
      </c>
      <c r="I158" s="120"/>
      <c r="J158" s="120">
        <v>75.33</v>
      </c>
      <c r="K158" s="120">
        <v>3888.24</v>
      </c>
      <c r="L158" s="124"/>
      <c r="M158" s="124"/>
      <c r="N158" s="58"/>
      <c r="O158" s="60">
        <v>11353</v>
      </c>
      <c r="P158" s="121">
        <v>3.75833</v>
      </c>
      <c r="Q158" s="120">
        <f t="shared" si="29"/>
        <v>42668.32049</v>
      </c>
      <c r="R158" s="127">
        <v>1534.6</v>
      </c>
      <c r="S158" s="127">
        <v>0.811782859</v>
      </c>
      <c r="T158" s="71"/>
      <c r="U158" s="71"/>
      <c r="V158" s="71"/>
      <c r="W158" s="104">
        <f t="shared" si="26"/>
        <v>104.06933181357337</v>
      </c>
      <c r="X158" s="104">
        <f t="shared" si="27"/>
        <v>61.327526982265326</v>
      </c>
    </row>
    <row r="159" spans="1:24" ht="15" customHeight="1" hidden="1">
      <c r="A159" s="43"/>
      <c r="B159" s="44" t="s">
        <v>114</v>
      </c>
      <c r="C159" s="44"/>
      <c r="D159" s="44"/>
      <c r="E159" s="61">
        <v>23.587</v>
      </c>
      <c r="F159" s="65">
        <v>1.738</v>
      </c>
      <c r="G159" s="62">
        <f t="shared" si="28"/>
        <v>25.325</v>
      </c>
      <c r="H159" s="60">
        <v>62848.99</v>
      </c>
      <c r="I159" s="60"/>
      <c r="J159" s="120">
        <v>104.1</v>
      </c>
      <c r="K159" s="120">
        <v>5372.79</v>
      </c>
      <c r="L159" s="124"/>
      <c r="M159" s="124"/>
      <c r="N159" s="58"/>
      <c r="O159" s="60">
        <v>11432</v>
      </c>
      <c r="P159" s="121">
        <v>3.19572</v>
      </c>
      <c r="Q159" s="120">
        <f t="shared" si="29"/>
        <v>36533.471040000004</v>
      </c>
      <c r="R159" s="127">
        <v>1534.6</v>
      </c>
      <c r="S159" s="127">
        <v>0.811782859</v>
      </c>
      <c r="T159" s="71"/>
      <c r="U159" s="71"/>
      <c r="V159" s="71"/>
      <c r="W159" s="104">
        <f t="shared" si="26"/>
        <v>104.79349962941697</v>
      </c>
      <c r="X159" s="104">
        <f t="shared" si="27"/>
        <v>61.75427538635226</v>
      </c>
    </row>
    <row r="160" spans="1:24" ht="15" customHeight="1" hidden="1">
      <c r="A160" s="43"/>
      <c r="B160" s="44" t="s">
        <v>115</v>
      </c>
      <c r="C160" s="44"/>
      <c r="D160" s="44"/>
      <c r="E160" s="61">
        <v>22.867</v>
      </c>
      <c r="F160" s="65">
        <v>1.826</v>
      </c>
      <c r="G160" s="62">
        <f t="shared" si="28"/>
        <v>24.693</v>
      </c>
      <c r="H160" s="120">
        <v>61280.93</v>
      </c>
      <c r="I160" s="120"/>
      <c r="J160" s="120">
        <v>92.05</v>
      </c>
      <c r="K160" s="120">
        <v>4751.24</v>
      </c>
      <c r="L160" s="124"/>
      <c r="M160" s="124"/>
      <c r="N160" s="124"/>
      <c r="O160" s="124">
        <v>10985</v>
      </c>
      <c r="P160" s="78"/>
      <c r="Q160" s="120">
        <f t="shared" si="29"/>
        <v>0</v>
      </c>
      <c r="R160" s="127">
        <v>1534.6</v>
      </c>
      <c r="S160" s="127">
        <v>0.811782859</v>
      </c>
      <c r="T160" s="71"/>
      <c r="U160" s="71"/>
      <c r="V160" s="71"/>
      <c r="W160" s="104">
        <f t="shared" si="26"/>
        <v>100.69599312711209</v>
      </c>
      <c r="X160" s="104">
        <f t="shared" si="27"/>
        <v>59.3396356822148</v>
      </c>
    </row>
    <row r="161" spans="1:24" ht="15" customHeight="1" hidden="1">
      <c r="A161" s="43"/>
      <c r="B161" s="44" t="s">
        <v>116</v>
      </c>
      <c r="C161" s="44"/>
      <c r="D161" s="44"/>
      <c r="E161" s="61">
        <v>27.98</v>
      </c>
      <c r="F161" s="65">
        <v>2.334</v>
      </c>
      <c r="G161" s="62">
        <f t="shared" si="28"/>
        <v>30.314</v>
      </c>
      <c r="H161" s="120">
        <v>75228.54</v>
      </c>
      <c r="I161" s="120"/>
      <c r="J161" s="120">
        <v>96.89</v>
      </c>
      <c r="K161" s="120">
        <v>5000.67</v>
      </c>
      <c r="L161" s="124"/>
      <c r="M161" s="124"/>
      <c r="N161" s="124"/>
      <c r="O161" s="124">
        <v>14082</v>
      </c>
      <c r="P161" s="78"/>
      <c r="Q161" s="120">
        <f t="shared" si="29"/>
        <v>0</v>
      </c>
      <c r="R161" s="127">
        <v>1534.6</v>
      </c>
      <c r="S161" s="127">
        <v>0.811782859</v>
      </c>
      <c r="T161" s="71"/>
      <c r="U161" s="71"/>
      <c r="V161" s="71"/>
      <c r="W161" s="104">
        <f t="shared" si="26"/>
        <v>129.08520484442352</v>
      </c>
      <c r="X161" s="104">
        <f t="shared" si="27"/>
        <v>76.06925349812916</v>
      </c>
    </row>
    <row r="162" spans="1:24" ht="15" customHeight="1">
      <c r="A162" s="43"/>
      <c r="B162" s="118" t="s">
        <v>117</v>
      </c>
      <c r="C162" s="68">
        <f aca="true" t="shared" si="30" ref="C162:K162">C161+C160+C159+C158+C157+C156+C151+C150+C149+C148+C147+C146</f>
        <v>0</v>
      </c>
      <c r="D162" s="68">
        <f t="shared" si="30"/>
        <v>0</v>
      </c>
      <c r="E162" s="59">
        <f t="shared" si="30"/>
        <v>187.045</v>
      </c>
      <c r="F162" s="87">
        <f t="shared" si="30"/>
        <v>22.834</v>
      </c>
      <c r="G162" s="124">
        <f t="shared" si="30"/>
        <v>209.87900000000005</v>
      </c>
      <c r="H162" s="124">
        <f t="shared" si="30"/>
        <v>479101.8999999999</v>
      </c>
      <c r="I162" s="124">
        <f t="shared" si="30"/>
        <v>0</v>
      </c>
      <c r="J162" s="124">
        <f t="shared" si="30"/>
        <v>1183.5</v>
      </c>
      <c r="K162" s="124">
        <f t="shared" si="30"/>
        <v>59647.100000000006</v>
      </c>
      <c r="L162" s="58"/>
      <c r="M162" s="58"/>
      <c r="N162" s="124"/>
      <c r="O162" s="79">
        <v>11850</v>
      </c>
      <c r="P162" s="78"/>
      <c r="Q162" s="58"/>
      <c r="R162" s="71"/>
      <c r="S162" s="71"/>
      <c r="T162" s="71"/>
      <c r="U162" s="71"/>
      <c r="V162" s="71">
        <v>45</v>
      </c>
      <c r="W162" s="104">
        <f t="shared" si="26"/>
        <v>108.62517237653876</v>
      </c>
      <c r="X162" s="104">
        <f t="shared" si="27"/>
        <v>64.01226061304008</v>
      </c>
    </row>
    <row r="163" spans="1:24" ht="15" customHeight="1" hidden="1">
      <c r="A163" s="43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9"/>
      <c r="Q163" s="118"/>
      <c r="R163" s="71"/>
      <c r="S163" s="71"/>
      <c r="T163" s="71"/>
      <c r="U163" s="71"/>
      <c r="V163" s="71"/>
      <c r="W163" s="104">
        <f t="shared" si="26"/>
        <v>0</v>
      </c>
      <c r="X163" s="104">
        <f t="shared" si="27"/>
        <v>0</v>
      </c>
    </row>
    <row r="164" spans="1:24" ht="15" customHeight="1">
      <c r="A164" s="42">
        <v>8</v>
      </c>
      <c r="B164" s="227" t="s">
        <v>123</v>
      </c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71"/>
      <c r="S164" s="71"/>
      <c r="T164" s="71" t="s">
        <v>79</v>
      </c>
      <c r="U164" s="71"/>
      <c r="V164" s="71"/>
      <c r="W164" s="104"/>
      <c r="X164" s="104"/>
    </row>
    <row r="165" spans="1:24" ht="15" customHeight="1" hidden="1">
      <c r="A165" s="43"/>
      <c r="B165" s="199" t="s">
        <v>80</v>
      </c>
      <c r="C165" s="199" t="s">
        <v>81</v>
      </c>
      <c r="D165" s="199"/>
      <c r="E165" s="199"/>
      <c r="F165" s="199"/>
      <c r="G165" s="199"/>
      <c r="H165" s="199"/>
      <c r="I165" s="118" t="s">
        <v>82</v>
      </c>
      <c r="J165" s="118" t="s">
        <v>83</v>
      </c>
      <c r="K165" s="118" t="s">
        <v>84</v>
      </c>
      <c r="L165" s="199" t="s">
        <v>85</v>
      </c>
      <c r="M165" s="199" t="s">
        <v>86</v>
      </c>
      <c r="N165" s="199" t="s">
        <v>87</v>
      </c>
      <c r="O165" s="199" t="s">
        <v>88</v>
      </c>
      <c r="P165" s="200" t="s">
        <v>89</v>
      </c>
      <c r="Q165" s="199" t="s">
        <v>90</v>
      </c>
      <c r="R165" s="71"/>
      <c r="S165" s="71"/>
      <c r="T165" s="74" t="s">
        <v>124</v>
      </c>
      <c r="U165" s="71"/>
      <c r="V165" s="71"/>
      <c r="W165" s="104" t="e">
        <f t="shared" si="26"/>
        <v>#VALUE!</v>
      </c>
      <c r="X165" s="104" t="e">
        <f t="shared" si="27"/>
        <v>#VALUE!</v>
      </c>
    </row>
    <row r="166" spans="1:24" ht="15" customHeight="1" hidden="1">
      <c r="A166" s="43"/>
      <c r="B166" s="199"/>
      <c r="C166" s="199">
        <v>2022.64</v>
      </c>
      <c r="D166" s="199"/>
      <c r="E166" s="199"/>
      <c r="F166" s="199"/>
      <c r="G166" s="199"/>
      <c r="H166" s="199"/>
      <c r="I166" s="126">
        <v>25.35</v>
      </c>
      <c r="J166" s="126">
        <f>I166*1.18</f>
        <v>29.913</v>
      </c>
      <c r="K166" s="226">
        <f>29.913+19.14</f>
        <v>49.053</v>
      </c>
      <c r="L166" s="199"/>
      <c r="M166" s="199"/>
      <c r="N166" s="199"/>
      <c r="O166" s="199"/>
      <c r="P166" s="200"/>
      <c r="Q166" s="199"/>
      <c r="R166" s="71"/>
      <c r="S166" s="71"/>
      <c r="T166" s="74" t="s">
        <v>125</v>
      </c>
      <c r="U166" s="71"/>
      <c r="V166" s="71"/>
      <c r="W166" s="104">
        <f t="shared" si="26"/>
        <v>0</v>
      </c>
      <c r="X166" s="104">
        <f t="shared" si="27"/>
        <v>0</v>
      </c>
    </row>
    <row r="167" spans="1:24" ht="15" customHeight="1" hidden="1">
      <c r="A167" s="43"/>
      <c r="B167" s="199"/>
      <c r="C167" s="199" t="s">
        <v>93</v>
      </c>
      <c r="D167" s="199"/>
      <c r="E167" s="199"/>
      <c r="F167" s="199"/>
      <c r="G167" s="199"/>
      <c r="H167" s="199"/>
      <c r="I167" s="118" t="s">
        <v>94</v>
      </c>
      <c r="J167" s="118" t="s">
        <v>83</v>
      </c>
      <c r="K167" s="226"/>
      <c r="L167" s="199"/>
      <c r="M167" s="199"/>
      <c r="N167" s="199"/>
      <c r="O167" s="199"/>
      <c r="P167" s="200"/>
      <c r="Q167" s="199"/>
      <c r="R167" s="71"/>
      <c r="S167" s="71"/>
      <c r="T167" s="74" t="s">
        <v>126</v>
      </c>
      <c r="U167" s="71"/>
      <c r="V167" s="71"/>
      <c r="W167" s="104">
        <f t="shared" si="26"/>
        <v>0</v>
      </c>
      <c r="X167" s="104">
        <f t="shared" si="27"/>
        <v>0</v>
      </c>
    </row>
    <row r="168" spans="1:24" ht="15" customHeight="1" hidden="1">
      <c r="A168" s="43"/>
      <c r="B168" s="199"/>
      <c r="C168" s="207">
        <f>C166*1.18</f>
        <v>2386.7152</v>
      </c>
      <c r="D168" s="207"/>
      <c r="E168" s="207"/>
      <c r="F168" s="207"/>
      <c r="G168" s="207"/>
      <c r="H168" s="207"/>
      <c r="I168" s="126">
        <v>16.22</v>
      </c>
      <c r="J168" s="126">
        <f>I168*1.18</f>
        <v>19.139599999999998</v>
      </c>
      <c r="K168" s="226"/>
      <c r="L168" s="199"/>
      <c r="M168" s="199"/>
      <c r="N168" s="199"/>
      <c r="O168" s="199"/>
      <c r="P168" s="200"/>
      <c r="Q168" s="199"/>
      <c r="R168" s="71"/>
      <c r="S168" s="71"/>
      <c r="T168" s="74" t="s">
        <v>127</v>
      </c>
      <c r="U168" s="71"/>
      <c r="V168" s="71"/>
      <c r="W168" s="104">
        <f t="shared" si="26"/>
        <v>0</v>
      </c>
      <c r="X168" s="104">
        <f t="shared" si="27"/>
        <v>0</v>
      </c>
    </row>
    <row r="169" spans="1:24" ht="45" customHeight="1" hidden="1">
      <c r="A169" s="43"/>
      <c r="B169" s="118" t="s">
        <v>96</v>
      </c>
      <c r="C169" s="118" t="s">
        <v>97</v>
      </c>
      <c r="D169" s="118" t="s">
        <v>98</v>
      </c>
      <c r="E169" s="118" t="s">
        <v>99</v>
      </c>
      <c r="F169" s="118" t="s">
        <v>100</v>
      </c>
      <c r="G169" s="118" t="s">
        <v>101</v>
      </c>
      <c r="H169" s="118" t="s">
        <v>90</v>
      </c>
      <c r="I169" s="118" t="s">
        <v>171</v>
      </c>
      <c r="J169" s="118" t="s">
        <v>102</v>
      </c>
      <c r="K169" s="118" t="s">
        <v>90</v>
      </c>
      <c r="L169" s="199"/>
      <c r="M169" s="199"/>
      <c r="N169" s="199"/>
      <c r="O169" s="199"/>
      <c r="P169" s="200"/>
      <c r="Q169" s="199"/>
      <c r="R169" s="71"/>
      <c r="S169" s="71"/>
      <c r="T169" s="74" t="s">
        <v>128</v>
      </c>
      <c r="U169" s="71"/>
      <c r="V169" s="71"/>
      <c r="W169" s="104">
        <f t="shared" si="26"/>
        <v>0</v>
      </c>
      <c r="X169" s="104">
        <f t="shared" si="27"/>
        <v>0</v>
      </c>
    </row>
    <row r="170" spans="1:24" ht="15" customHeight="1" hidden="1">
      <c r="A170" s="43"/>
      <c r="B170" s="44" t="s">
        <v>103</v>
      </c>
      <c r="C170" s="44"/>
      <c r="D170" s="44"/>
      <c r="E170" s="62">
        <v>459.293</v>
      </c>
      <c r="F170" s="62">
        <v>21.005</v>
      </c>
      <c r="G170" s="62">
        <f aca="true" t="shared" si="31" ref="G170:G175">F170+E170</f>
        <v>480.298</v>
      </c>
      <c r="H170" s="60">
        <v>1146334.53</v>
      </c>
      <c r="I170" s="120"/>
      <c r="J170" s="120">
        <v>910.93</v>
      </c>
      <c r="K170" s="120">
        <v>44680.19</v>
      </c>
      <c r="L170" s="120"/>
      <c r="M170" s="120"/>
      <c r="N170" s="120"/>
      <c r="O170" s="120">
        <v>328581</v>
      </c>
      <c r="P170" s="125">
        <v>3.77026</v>
      </c>
      <c r="Q170" s="120">
        <f aca="true" t="shared" si="32" ref="Q170:Q175">P170*O170</f>
        <v>1238835.80106</v>
      </c>
      <c r="R170" s="127">
        <v>20660.9</v>
      </c>
      <c r="S170" s="127">
        <v>11.1830938</v>
      </c>
      <c r="T170" s="74" t="s">
        <v>129</v>
      </c>
      <c r="U170" s="71"/>
      <c r="V170" s="71"/>
      <c r="W170" s="104">
        <f t="shared" si="26"/>
        <v>3011.997279717762</v>
      </c>
      <c r="X170" s="104">
        <f t="shared" si="27"/>
        <v>1774.954650168213</v>
      </c>
    </row>
    <row r="171" spans="1:24" ht="15" customHeight="1" hidden="1">
      <c r="A171" s="43"/>
      <c r="B171" s="44" t="s">
        <v>104</v>
      </c>
      <c r="C171" s="44"/>
      <c r="D171" s="44"/>
      <c r="E171" s="44">
        <v>385.523</v>
      </c>
      <c r="F171" s="44">
        <v>19.762</v>
      </c>
      <c r="G171" s="62">
        <f t="shared" si="31"/>
        <v>405.285</v>
      </c>
      <c r="H171" s="44">
        <v>967299.89</v>
      </c>
      <c r="I171" s="120"/>
      <c r="J171" s="120">
        <v>912.66</v>
      </c>
      <c r="K171" s="120">
        <v>44764.24</v>
      </c>
      <c r="L171" s="124"/>
      <c r="M171" s="124"/>
      <c r="N171" s="124"/>
      <c r="O171" s="120">
        <v>303933</v>
      </c>
      <c r="P171" s="125">
        <v>3.94348</v>
      </c>
      <c r="Q171" s="120">
        <f t="shared" si="32"/>
        <v>1198553.70684</v>
      </c>
      <c r="R171" s="127">
        <v>20660.9</v>
      </c>
      <c r="S171" s="127">
        <v>11.1830938</v>
      </c>
      <c r="T171" s="74" t="s">
        <v>130</v>
      </c>
      <c r="U171" s="71"/>
      <c r="V171" s="71"/>
      <c r="W171" s="104">
        <f t="shared" si="26"/>
        <v>2786.0569211745615</v>
      </c>
      <c r="X171" s="104">
        <f t="shared" si="27"/>
        <v>1641.8091480930898</v>
      </c>
    </row>
    <row r="172" spans="1:24" ht="15" customHeight="1" hidden="1">
      <c r="A172" s="43"/>
      <c r="B172" s="44" t="s">
        <v>105</v>
      </c>
      <c r="C172" s="44"/>
      <c r="D172" s="44"/>
      <c r="E172" s="44">
        <v>500.56</v>
      </c>
      <c r="F172" s="44">
        <v>22.872</v>
      </c>
      <c r="G172" s="62">
        <f t="shared" si="31"/>
        <v>523.432</v>
      </c>
      <c r="H172" s="44">
        <v>1249238.11</v>
      </c>
      <c r="I172" s="120"/>
      <c r="J172" s="120">
        <v>1094.42</v>
      </c>
      <c r="K172" s="120">
        <v>53679.78</v>
      </c>
      <c r="L172" s="124"/>
      <c r="M172" s="124"/>
      <c r="N172" s="124"/>
      <c r="O172" s="120">
        <v>329115</v>
      </c>
      <c r="P172" s="125">
        <v>3.92864</v>
      </c>
      <c r="Q172" s="120">
        <f t="shared" si="32"/>
        <v>1292974.3536</v>
      </c>
      <c r="R172" s="127">
        <v>20626.7</v>
      </c>
      <c r="S172" s="127">
        <v>10.91124821</v>
      </c>
      <c r="T172" s="74" t="s">
        <v>131</v>
      </c>
      <c r="U172" s="71"/>
      <c r="V172" s="71"/>
      <c r="W172" s="104">
        <f t="shared" si="26"/>
        <v>3016.892287485616</v>
      </c>
      <c r="X172" s="104">
        <f t="shared" si="27"/>
        <v>1777.8392533046995</v>
      </c>
    </row>
    <row r="173" spans="1:24" ht="15" customHeight="1" hidden="1">
      <c r="A173" s="43"/>
      <c r="B173" s="44" t="s">
        <v>106</v>
      </c>
      <c r="C173" s="44"/>
      <c r="D173" s="44"/>
      <c r="E173" s="44">
        <v>170.755</v>
      </c>
      <c r="F173" s="44">
        <v>28.953</v>
      </c>
      <c r="G173" s="62">
        <f t="shared" si="31"/>
        <v>199.708</v>
      </c>
      <c r="H173" s="44">
        <v>476646.93</v>
      </c>
      <c r="I173" s="120"/>
      <c r="J173" s="120">
        <v>1319.82</v>
      </c>
      <c r="K173" s="120">
        <v>64735.79</v>
      </c>
      <c r="L173" s="124"/>
      <c r="M173" s="124"/>
      <c r="N173" s="124"/>
      <c r="O173" s="120">
        <v>303240</v>
      </c>
      <c r="P173" s="125">
        <v>3.84733</v>
      </c>
      <c r="Q173" s="120">
        <f t="shared" si="32"/>
        <v>1166664.3492</v>
      </c>
      <c r="R173" s="127">
        <v>20626.7</v>
      </c>
      <c r="S173" s="127">
        <v>10.91124821</v>
      </c>
      <c r="T173" s="74" t="s">
        <v>132</v>
      </c>
      <c r="U173" s="71"/>
      <c r="V173" s="71"/>
      <c r="W173" s="104">
        <f t="shared" si="26"/>
        <v>2779.704411093807</v>
      </c>
      <c r="X173" s="104">
        <f t="shared" si="27"/>
        <v>1638.0656462698967</v>
      </c>
    </row>
    <row r="174" spans="1:24" ht="15" customHeight="1" hidden="1">
      <c r="A174" s="43"/>
      <c r="B174" s="44" t="s">
        <v>107</v>
      </c>
      <c r="C174" s="44"/>
      <c r="D174" s="44"/>
      <c r="E174" s="44"/>
      <c r="F174" s="44">
        <v>30.834</v>
      </c>
      <c r="G174" s="62">
        <f t="shared" si="31"/>
        <v>30.834</v>
      </c>
      <c r="H174" s="44">
        <v>73591.89</v>
      </c>
      <c r="I174" s="120"/>
      <c r="J174" s="120">
        <v>1804.93</v>
      </c>
      <c r="K174" s="120">
        <v>88498.74</v>
      </c>
      <c r="L174" s="124"/>
      <c r="M174" s="124"/>
      <c r="N174" s="124"/>
      <c r="O174" s="120">
        <v>259354</v>
      </c>
      <c r="P174" s="125">
        <v>3.93847</v>
      </c>
      <c r="Q174" s="120">
        <f t="shared" si="32"/>
        <v>1021457.9483800001</v>
      </c>
      <c r="R174" s="127">
        <v>20626.7</v>
      </c>
      <c r="S174" s="127">
        <v>10.91124821</v>
      </c>
      <c r="T174" s="74" t="s">
        <v>133</v>
      </c>
      <c r="U174" s="71"/>
      <c r="V174" s="71"/>
      <c r="W174" s="104">
        <f t="shared" si="26"/>
        <v>2377.415439370872</v>
      </c>
      <c r="X174" s="104">
        <f t="shared" si="27"/>
        <v>1400.9988049818057</v>
      </c>
    </row>
    <row r="175" spans="1:24" ht="15" customHeight="1" hidden="1">
      <c r="A175" s="43"/>
      <c r="B175" s="44" t="s">
        <v>108</v>
      </c>
      <c r="C175" s="44"/>
      <c r="D175" s="44"/>
      <c r="E175" s="44"/>
      <c r="F175" s="44">
        <v>26.416</v>
      </c>
      <c r="G175" s="62">
        <f t="shared" si="31"/>
        <v>26.416</v>
      </c>
      <c r="H175" s="44">
        <v>63047.47</v>
      </c>
      <c r="I175" s="120"/>
      <c r="J175" s="120">
        <v>1512.91</v>
      </c>
      <c r="K175" s="120">
        <v>74206.29</v>
      </c>
      <c r="L175" s="124"/>
      <c r="M175" s="124"/>
      <c r="N175" s="124"/>
      <c r="O175" s="120">
        <v>252504</v>
      </c>
      <c r="P175" s="125">
        <v>3.97841</v>
      </c>
      <c r="Q175" s="120">
        <f t="shared" si="32"/>
        <v>1004564.43864</v>
      </c>
      <c r="R175" s="127">
        <v>20626.7</v>
      </c>
      <c r="S175" s="127">
        <v>10.91124821</v>
      </c>
      <c r="T175" s="74" t="s">
        <v>134</v>
      </c>
      <c r="U175" s="71"/>
      <c r="V175" s="71"/>
      <c r="W175" s="104">
        <f t="shared" si="26"/>
        <v>2314.623673060383</v>
      </c>
      <c r="X175" s="104">
        <f t="shared" si="27"/>
        <v>1363.9959370324957</v>
      </c>
    </row>
    <row r="176" spans="1:24" ht="15" customHeight="1" hidden="1">
      <c r="A176" s="43"/>
      <c r="B176" s="220" t="s">
        <v>109</v>
      </c>
      <c r="C176" s="220" t="s">
        <v>81</v>
      </c>
      <c r="D176" s="220"/>
      <c r="E176" s="220"/>
      <c r="F176" s="220"/>
      <c r="G176" s="220"/>
      <c r="H176" s="220"/>
      <c r="I176" s="118" t="s">
        <v>82</v>
      </c>
      <c r="J176" s="118" t="s">
        <v>83</v>
      </c>
      <c r="K176" s="118" t="s">
        <v>84</v>
      </c>
      <c r="L176" s="199"/>
      <c r="M176" s="199"/>
      <c r="N176" s="228"/>
      <c r="O176" s="228"/>
      <c r="P176" s="229"/>
      <c r="Q176" s="199"/>
      <c r="R176" s="71"/>
      <c r="S176" s="71"/>
      <c r="T176" s="74" t="s">
        <v>135</v>
      </c>
      <c r="U176" s="71"/>
      <c r="V176" s="71"/>
      <c r="W176" s="104">
        <f t="shared" si="26"/>
        <v>0</v>
      </c>
      <c r="X176" s="104">
        <f t="shared" si="27"/>
        <v>0</v>
      </c>
    </row>
    <row r="177" spans="1:24" ht="15" customHeight="1" hidden="1">
      <c r="A177" s="43"/>
      <c r="B177" s="220"/>
      <c r="C177" s="220">
        <v>2103.15</v>
      </c>
      <c r="D177" s="220"/>
      <c r="E177" s="220"/>
      <c r="F177" s="220"/>
      <c r="G177" s="220"/>
      <c r="H177" s="220"/>
      <c r="I177" s="126">
        <v>26.61</v>
      </c>
      <c r="J177" s="126">
        <f>I177*1.18</f>
        <v>31.3998</v>
      </c>
      <c r="K177" s="226">
        <f>J179+J177</f>
        <v>51.61319999999999</v>
      </c>
      <c r="L177" s="199"/>
      <c r="M177" s="199"/>
      <c r="N177" s="228"/>
      <c r="O177" s="228"/>
      <c r="P177" s="229"/>
      <c r="Q177" s="199"/>
      <c r="R177" s="71"/>
      <c r="S177" s="71"/>
      <c r="T177" s="74" t="s">
        <v>136</v>
      </c>
      <c r="U177" s="71"/>
      <c r="V177" s="71"/>
      <c r="W177" s="104">
        <f t="shared" si="26"/>
        <v>0</v>
      </c>
      <c r="X177" s="104">
        <f t="shared" si="27"/>
        <v>0</v>
      </c>
    </row>
    <row r="178" spans="1:24" ht="15" customHeight="1" hidden="1">
      <c r="A178" s="43"/>
      <c r="B178" s="220"/>
      <c r="C178" s="220" t="s">
        <v>93</v>
      </c>
      <c r="D178" s="220"/>
      <c r="E178" s="220"/>
      <c r="F178" s="220"/>
      <c r="G178" s="220"/>
      <c r="H178" s="220"/>
      <c r="I178" s="118" t="s">
        <v>110</v>
      </c>
      <c r="J178" s="118" t="s">
        <v>83</v>
      </c>
      <c r="K178" s="226"/>
      <c r="L178" s="199"/>
      <c r="M178" s="199"/>
      <c r="N178" s="228"/>
      <c r="O178" s="228"/>
      <c r="P178" s="229"/>
      <c r="Q178" s="199"/>
      <c r="R178" s="71"/>
      <c r="S178" s="71"/>
      <c r="T178" s="74" t="s">
        <v>137</v>
      </c>
      <c r="U178" s="71"/>
      <c r="V178" s="71"/>
      <c r="W178" s="104">
        <f t="shared" si="26"/>
        <v>0</v>
      </c>
      <c r="X178" s="104">
        <f t="shared" si="27"/>
        <v>0</v>
      </c>
    </row>
    <row r="179" spans="1:24" ht="15" customHeight="1" hidden="1">
      <c r="A179" s="43"/>
      <c r="B179" s="220"/>
      <c r="C179" s="225">
        <f>C177*1.18</f>
        <v>2481.717</v>
      </c>
      <c r="D179" s="225"/>
      <c r="E179" s="225"/>
      <c r="F179" s="225"/>
      <c r="G179" s="225"/>
      <c r="H179" s="225"/>
      <c r="I179" s="126">
        <v>17.13</v>
      </c>
      <c r="J179" s="126">
        <f>I179*1.18</f>
        <v>20.213399999999996</v>
      </c>
      <c r="K179" s="226"/>
      <c r="L179" s="199"/>
      <c r="M179" s="199"/>
      <c r="N179" s="228"/>
      <c r="O179" s="228"/>
      <c r="P179" s="229"/>
      <c r="Q179" s="199"/>
      <c r="R179" s="71"/>
      <c r="S179" s="71"/>
      <c r="T179" s="74" t="s">
        <v>138</v>
      </c>
      <c r="U179" s="71"/>
      <c r="V179" s="71"/>
      <c r="W179" s="104">
        <f t="shared" si="26"/>
        <v>0</v>
      </c>
      <c r="X179" s="104">
        <f t="shared" si="27"/>
        <v>0</v>
      </c>
    </row>
    <row r="180" spans="1:24" ht="15" customHeight="1" hidden="1">
      <c r="A180" s="43"/>
      <c r="B180" s="45" t="s">
        <v>111</v>
      </c>
      <c r="C180" s="45"/>
      <c r="D180" s="45"/>
      <c r="E180" s="55"/>
      <c r="F180" s="66">
        <v>26.108</v>
      </c>
      <c r="G180" s="86">
        <f aca="true" t="shared" si="33" ref="G180:G185">F180+E180</f>
        <v>26.108</v>
      </c>
      <c r="H180" s="56">
        <v>64792.67</v>
      </c>
      <c r="I180" s="55"/>
      <c r="J180" s="55">
        <v>1782.46</v>
      </c>
      <c r="K180" s="55">
        <v>91988.98</v>
      </c>
      <c r="L180" s="124"/>
      <c r="M180" s="124"/>
      <c r="N180" s="58"/>
      <c r="O180" s="60">
        <v>332550</v>
      </c>
      <c r="P180" s="125">
        <v>4.59379</v>
      </c>
      <c r="Q180" s="120">
        <f aca="true" t="shared" si="34" ref="Q180:Q185">P180*O180</f>
        <v>1527664.8645000001</v>
      </c>
      <c r="R180" s="127">
        <v>20626.7</v>
      </c>
      <c r="S180" s="127">
        <v>10.91124821</v>
      </c>
      <c r="T180" s="74" t="s">
        <v>139</v>
      </c>
      <c r="U180" s="71"/>
      <c r="V180" s="71"/>
      <c r="W180" s="104">
        <f t="shared" si="26"/>
        <v>3048.3798374529924</v>
      </c>
      <c r="X180" s="104">
        <f t="shared" si="27"/>
        <v>1796.394706064682</v>
      </c>
    </row>
    <row r="181" spans="1:24" ht="15" customHeight="1" hidden="1">
      <c r="A181" s="43"/>
      <c r="B181" s="45" t="s">
        <v>112</v>
      </c>
      <c r="C181" s="45"/>
      <c r="D181" s="45"/>
      <c r="E181" s="56"/>
      <c r="F181" s="66">
        <v>24.324</v>
      </c>
      <c r="G181" s="86">
        <f t="shared" si="33"/>
        <v>24.324</v>
      </c>
      <c r="H181" s="56">
        <v>60365.28</v>
      </c>
      <c r="I181" s="55"/>
      <c r="J181" s="55">
        <v>1637.33</v>
      </c>
      <c r="K181" s="55">
        <v>84508.4</v>
      </c>
      <c r="L181" s="124"/>
      <c r="M181" s="124"/>
      <c r="N181" s="58"/>
      <c r="O181" s="60">
        <v>225742</v>
      </c>
      <c r="P181" s="125">
        <v>4.67442</v>
      </c>
      <c r="Q181" s="120">
        <f t="shared" si="34"/>
        <v>1055212.91964</v>
      </c>
      <c r="R181" s="127">
        <v>20626.7</v>
      </c>
      <c r="S181" s="127">
        <v>10.91124821</v>
      </c>
      <c r="T181" s="74" t="s">
        <v>140</v>
      </c>
      <c r="U181" s="71"/>
      <c r="V181" s="71"/>
      <c r="W181" s="104">
        <f t="shared" si="26"/>
        <v>2069.3049504324563</v>
      </c>
      <c r="X181" s="104">
        <f t="shared" si="27"/>
        <v>1219.4308637391473</v>
      </c>
    </row>
    <row r="182" spans="1:24" ht="15" customHeight="1" hidden="1">
      <c r="A182" s="43"/>
      <c r="B182" s="44" t="s">
        <v>113</v>
      </c>
      <c r="C182" s="44"/>
      <c r="D182" s="44"/>
      <c r="E182" s="60"/>
      <c r="F182" s="67">
        <v>27.733</v>
      </c>
      <c r="G182" s="62">
        <f t="shared" si="33"/>
        <v>27.733</v>
      </c>
      <c r="H182" s="60">
        <v>68825.46</v>
      </c>
      <c r="I182" s="120"/>
      <c r="J182" s="120">
        <v>1014.25</v>
      </c>
      <c r="K182" s="120">
        <v>52348.86</v>
      </c>
      <c r="L182" s="124"/>
      <c r="M182" s="124"/>
      <c r="N182" s="58"/>
      <c r="O182" s="60">
        <v>232931</v>
      </c>
      <c r="P182" s="125">
        <v>4.28833</v>
      </c>
      <c r="Q182" s="120">
        <f t="shared" si="34"/>
        <v>998884.99523</v>
      </c>
      <c r="R182" s="127">
        <v>20626.7</v>
      </c>
      <c r="S182" s="127">
        <v>10.91124821</v>
      </c>
      <c r="T182" s="71" t="s">
        <v>95</v>
      </c>
      <c r="U182" s="71"/>
      <c r="V182" s="71"/>
      <c r="W182" s="104">
        <f t="shared" si="26"/>
        <v>2135.2042216742234</v>
      </c>
      <c r="X182" s="104">
        <f t="shared" si="27"/>
        <v>1258.2649685110582</v>
      </c>
    </row>
    <row r="183" spans="1:24" ht="15" customHeight="1" hidden="1">
      <c r="A183" s="43"/>
      <c r="B183" s="44" t="s">
        <v>114</v>
      </c>
      <c r="C183" s="44"/>
      <c r="D183" s="44"/>
      <c r="E183" s="61">
        <v>317.558</v>
      </c>
      <c r="F183" s="67">
        <v>23.403</v>
      </c>
      <c r="G183" s="62">
        <f t="shared" si="33"/>
        <v>340.961</v>
      </c>
      <c r="H183" s="120">
        <v>846168.8</v>
      </c>
      <c r="I183" s="60"/>
      <c r="J183" s="120">
        <v>1401.5</v>
      </c>
      <c r="K183" s="120">
        <v>72336.1</v>
      </c>
      <c r="L183" s="124"/>
      <c r="M183" s="124"/>
      <c r="N183" s="58"/>
      <c r="O183" s="60">
        <v>277275</v>
      </c>
      <c r="P183" s="125">
        <v>4.23582</v>
      </c>
      <c r="Q183" s="120">
        <f t="shared" si="34"/>
        <v>1174486.9905</v>
      </c>
      <c r="R183" s="127">
        <v>20626.7</v>
      </c>
      <c r="S183" s="127">
        <v>10.91124821</v>
      </c>
      <c r="T183" s="71"/>
      <c r="U183" s="71"/>
      <c r="V183" s="71"/>
      <c r="W183" s="104">
        <f t="shared" si="26"/>
        <v>2541.6915333928087</v>
      </c>
      <c r="X183" s="104">
        <f t="shared" si="27"/>
        <v>1497.8058701671468</v>
      </c>
    </row>
    <row r="184" spans="1:24" ht="15" customHeight="1" hidden="1">
      <c r="A184" s="43"/>
      <c r="B184" s="44" t="s">
        <v>115</v>
      </c>
      <c r="C184" s="44"/>
      <c r="D184" s="44"/>
      <c r="E184" s="61">
        <v>307.873</v>
      </c>
      <c r="F184" s="67">
        <v>24.578</v>
      </c>
      <c r="G184" s="62">
        <f t="shared" si="33"/>
        <v>332.45099999999996</v>
      </c>
      <c r="H184" s="120">
        <v>825048.35</v>
      </c>
      <c r="I184" s="120"/>
      <c r="J184" s="120">
        <v>1239.36</v>
      </c>
      <c r="K184" s="120">
        <v>63967.79</v>
      </c>
      <c r="L184" s="124"/>
      <c r="M184" s="124"/>
      <c r="N184" s="124"/>
      <c r="O184" s="124">
        <v>249849</v>
      </c>
      <c r="P184" s="78"/>
      <c r="Q184" s="120">
        <f t="shared" si="34"/>
        <v>0</v>
      </c>
      <c r="R184" s="127">
        <v>20626.7</v>
      </c>
      <c r="S184" s="127">
        <v>10.91124821</v>
      </c>
      <c r="T184" s="71"/>
      <c r="U184" s="71"/>
      <c r="V184" s="71"/>
      <c r="W184" s="104">
        <f t="shared" si="26"/>
        <v>2290.2861344393104</v>
      </c>
      <c r="X184" s="104">
        <f t="shared" si="27"/>
        <v>1349.6539495280551</v>
      </c>
    </row>
    <row r="185" spans="1:24" ht="15" customHeight="1" hidden="1">
      <c r="A185" s="43"/>
      <c r="B185" s="44" t="s">
        <v>116</v>
      </c>
      <c r="C185" s="44"/>
      <c r="D185" s="44"/>
      <c r="E185" s="61">
        <v>376.7</v>
      </c>
      <c r="F185" s="67">
        <v>31.417</v>
      </c>
      <c r="G185" s="62">
        <f t="shared" si="33"/>
        <v>408.11699999999996</v>
      </c>
      <c r="H185" s="120">
        <v>1012830.28</v>
      </c>
      <c r="I185" s="120"/>
      <c r="J185" s="120">
        <v>1304.43</v>
      </c>
      <c r="K185" s="120">
        <v>67325.95</v>
      </c>
      <c r="L185" s="124"/>
      <c r="M185" s="124"/>
      <c r="N185" s="124"/>
      <c r="O185" s="124">
        <v>308789</v>
      </c>
      <c r="P185" s="78"/>
      <c r="Q185" s="120">
        <f t="shared" si="34"/>
        <v>0</v>
      </c>
      <c r="R185" s="127">
        <v>20626.7</v>
      </c>
      <c r="S185" s="127">
        <v>10.91124821</v>
      </c>
      <c r="T185" s="71"/>
      <c r="U185" s="71"/>
      <c r="V185" s="71"/>
      <c r="W185" s="104">
        <f t="shared" si="26"/>
        <v>2830.5703251459095</v>
      </c>
      <c r="X185" s="104">
        <f t="shared" si="27"/>
        <v>1668.0406702481043</v>
      </c>
    </row>
    <row r="186" spans="1:24" ht="15" customHeight="1">
      <c r="A186" s="43"/>
      <c r="B186" s="118" t="s">
        <v>117</v>
      </c>
      <c r="C186" s="124">
        <f aca="true" t="shared" si="35" ref="C186:K186">C185+C184+C183+C182+C181+C180+C175+C174+C173+C172+C171+C170</f>
        <v>0</v>
      </c>
      <c r="D186" s="124">
        <f t="shared" si="35"/>
        <v>0</v>
      </c>
      <c r="E186" s="59">
        <f t="shared" si="35"/>
        <v>2518.262</v>
      </c>
      <c r="F186" s="68">
        <f t="shared" si="35"/>
        <v>307.40500000000003</v>
      </c>
      <c r="G186" s="124">
        <f t="shared" si="35"/>
        <v>2825.6670000000004</v>
      </c>
      <c r="H186" s="124">
        <f t="shared" si="35"/>
        <v>6854189.66</v>
      </c>
      <c r="I186" s="124">
        <f t="shared" si="35"/>
        <v>0</v>
      </c>
      <c r="J186" s="124">
        <f t="shared" si="35"/>
        <v>15935</v>
      </c>
      <c r="K186" s="124">
        <f t="shared" si="35"/>
        <v>803041.1100000001</v>
      </c>
      <c r="L186" s="58"/>
      <c r="M186" s="58"/>
      <c r="N186" s="124"/>
      <c r="O186" s="79">
        <v>270799</v>
      </c>
      <c r="P186" s="78"/>
      <c r="Q186" s="58"/>
      <c r="R186" s="71"/>
      <c r="S186" s="71"/>
      <c r="T186" s="71"/>
      <c r="U186" s="71"/>
      <c r="V186" s="71"/>
      <c r="W186" s="104">
        <f t="shared" si="26"/>
        <v>2482.3281058560606</v>
      </c>
      <c r="X186" s="104">
        <f t="shared" si="27"/>
        <v>1462.8233047890837</v>
      </c>
    </row>
    <row r="187" spans="1:24" ht="15" customHeight="1" hidden="1">
      <c r="A187" s="42">
        <v>9</v>
      </c>
      <c r="B187" s="221" t="s">
        <v>141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71"/>
      <c r="S187" s="71"/>
      <c r="T187" s="71" t="s">
        <v>79</v>
      </c>
      <c r="U187" s="71"/>
      <c r="V187" s="71"/>
      <c r="W187" s="104">
        <f t="shared" si="26"/>
        <v>0</v>
      </c>
      <c r="X187" s="104">
        <f t="shared" si="27"/>
        <v>0</v>
      </c>
    </row>
    <row r="188" spans="1:24" ht="15" customHeight="1" hidden="1">
      <c r="A188" s="43"/>
      <c r="B188" s="199" t="s">
        <v>80</v>
      </c>
      <c r="C188" s="199" t="s">
        <v>81</v>
      </c>
      <c r="D188" s="199"/>
      <c r="E188" s="199"/>
      <c r="F188" s="199"/>
      <c r="G188" s="199"/>
      <c r="H188" s="199"/>
      <c r="I188" s="118" t="s">
        <v>82</v>
      </c>
      <c r="J188" s="118" t="s">
        <v>83</v>
      </c>
      <c r="K188" s="118" t="s">
        <v>84</v>
      </c>
      <c r="L188" s="199" t="s">
        <v>85</v>
      </c>
      <c r="M188" s="199" t="s">
        <v>86</v>
      </c>
      <c r="N188" s="199" t="s">
        <v>87</v>
      </c>
      <c r="O188" s="199" t="s">
        <v>88</v>
      </c>
      <c r="P188" s="200" t="s">
        <v>89</v>
      </c>
      <c r="Q188" s="199" t="s">
        <v>90</v>
      </c>
      <c r="R188" s="71"/>
      <c r="S188" s="71"/>
      <c r="T188" s="71"/>
      <c r="U188" s="71"/>
      <c r="V188" s="71"/>
      <c r="W188" s="104" t="e">
        <f t="shared" si="26"/>
        <v>#VALUE!</v>
      </c>
      <c r="X188" s="104" t="e">
        <f t="shared" si="27"/>
        <v>#VALUE!</v>
      </c>
    </row>
    <row r="189" spans="1:24" ht="15" customHeight="1" hidden="1">
      <c r="A189" s="43"/>
      <c r="B189" s="199"/>
      <c r="C189" s="199">
        <v>2022.64</v>
      </c>
      <c r="D189" s="199"/>
      <c r="E189" s="199"/>
      <c r="F189" s="199"/>
      <c r="G189" s="199"/>
      <c r="H189" s="199"/>
      <c r="I189" s="126">
        <v>25.35</v>
      </c>
      <c r="J189" s="126">
        <f>I189*1.18</f>
        <v>29.913</v>
      </c>
      <c r="K189" s="226">
        <f>29.913+19.14</f>
        <v>49.053</v>
      </c>
      <c r="L189" s="199"/>
      <c r="M189" s="199"/>
      <c r="N189" s="199"/>
      <c r="O189" s="199"/>
      <c r="P189" s="200"/>
      <c r="Q189" s="199"/>
      <c r="R189" s="71"/>
      <c r="S189" s="71"/>
      <c r="T189" s="71"/>
      <c r="U189" s="71"/>
      <c r="V189" s="71"/>
      <c r="W189" s="104">
        <f t="shared" si="26"/>
        <v>0</v>
      </c>
      <c r="X189" s="104">
        <f t="shared" si="27"/>
        <v>0</v>
      </c>
    </row>
    <row r="190" spans="1:24" ht="15" customHeight="1" hidden="1">
      <c r="A190" s="43"/>
      <c r="B190" s="199"/>
      <c r="C190" s="199" t="s">
        <v>93</v>
      </c>
      <c r="D190" s="199"/>
      <c r="E190" s="199"/>
      <c r="F190" s="199"/>
      <c r="G190" s="199"/>
      <c r="H190" s="199"/>
      <c r="I190" s="118" t="s">
        <v>94</v>
      </c>
      <c r="J190" s="118" t="s">
        <v>83</v>
      </c>
      <c r="K190" s="226"/>
      <c r="L190" s="199"/>
      <c r="M190" s="199"/>
      <c r="N190" s="199"/>
      <c r="O190" s="199"/>
      <c r="P190" s="200"/>
      <c r="Q190" s="199"/>
      <c r="R190" s="71"/>
      <c r="S190" s="71"/>
      <c r="T190" s="71"/>
      <c r="U190" s="71"/>
      <c r="V190" s="71"/>
      <c r="W190" s="104">
        <f t="shared" si="26"/>
        <v>0</v>
      </c>
      <c r="X190" s="104">
        <f t="shared" si="27"/>
        <v>0</v>
      </c>
    </row>
    <row r="191" spans="1:24" ht="15" customHeight="1" hidden="1">
      <c r="A191" s="43"/>
      <c r="B191" s="199"/>
      <c r="C191" s="207">
        <f>C189*1.18</f>
        <v>2386.7152</v>
      </c>
      <c r="D191" s="207"/>
      <c r="E191" s="207"/>
      <c r="F191" s="207"/>
      <c r="G191" s="207"/>
      <c r="H191" s="207"/>
      <c r="I191" s="126">
        <v>16.22</v>
      </c>
      <c r="J191" s="126">
        <f>I191*1.18</f>
        <v>19.139599999999998</v>
      </c>
      <c r="K191" s="226"/>
      <c r="L191" s="199"/>
      <c r="M191" s="199"/>
      <c r="N191" s="199"/>
      <c r="O191" s="199"/>
      <c r="P191" s="200"/>
      <c r="Q191" s="199"/>
      <c r="R191" s="71"/>
      <c r="S191" s="71"/>
      <c r="T191" s="71" t="s">
        <v>95</v>
      </c>
      <c r="U191" s="71"/>
      <c r="V191" s="71"/>
      <c r="W191" s="104">
        <f t="shared" si="26"/>
        <v>0</v>
      </c>
      <c r="X191" s="104">
        <f t="shared" si="27"/>
        <v>0</v>
      </c>
    </row>
    <row r="192" spans="1:24" ht="45" customHeight="1" hidden="1">
      <c r="A192" s="43"/>
      <c r="B192" s="118" t="s">
        <v>96</v>
      </c>
      <c r="C192" s="118" t="s">
        <v>97</v>
      </c>
      <c r="D192" s="118" t="s">
        <v>98</v>
      </c>
      <c r="E192" s="118" t="s">
        <v>99</v>
      </c>
      <c r="F192" s="118" t="s">
        <v>100</v>
      </c>
      <c r="G192" s="118" t="s">
        <v>101</v>
      </c>
      <c r="H192" s="118" t="s">
        <v>90</v>
      </c>
      <c r="I192" s="118" t="s">
        <v>171</v>
      </c>
      <c r="J192" s="118" t="s">
        <v>102</v>
      </c>
      <c r="K192" s="118" t="s">
        <v>90</v>
      </c>
      <c r="L192" s="199"/>
      <c r="M192" s="199"/>
      <c r="N192" s="199"/>
      <c r="O192" s="199"/>
      <c r="P192" s="200"/>
      <c r="Q192" s="199"/>
      <c r="R192" s="71"/>
      <c r="S192" s="71"/>
      <c r="T192" s="71"/>
      <c r="U192" s="71"/>
      <c r="V192" s="71"/>
      <c r="W192" s="104">
        <f t="shared" si="26"/>
        <v>0</v>
      </c>
      <c r="X192" s="104">
        <f t="shared" si="27"/>
        <v>0</v>
      </c>
    </row>
    <row r="193" spans="1:24" ht="15" customHeight="1" hidden="1">
      <c r="A193" s="43"/>
      <c r="B193" s="44" t="s">
        <v>103</v>
      </c>
      <c r="C193" s="44"/>
      <c r="D193" s="44"/>
      <c r="E193" s="62">
        <v>201.68</v>
      </c>
      <c r="F193" s="62">
        <v>4.537</v>
      </c>
      <c r="G193" s="62">
        <f aca="true" t="shared" si="36" ref="G193:G198">F193+E193</f>
        <v>206.217</v>
      </c>
      <c r="H193" s="60">
        <v>492181.25</v>
      </c>
      <c r="I193" s="120"/>
      <c r="J193" s="120">
        <v>377.02</v>
      </c>
      <c r="K193" s="120">
        <v>18492.17</v>
      </c>
      <c r="L193" s="120"/>
      <c r="M193" s="120"/>
      <c r="N193" s="120"/>
      <c r="O193" s="120">
        <v>98827</v>
      </c>
      <c r="P193" s="121">
        <v>3.20931</v>
      </c>
      <c r="Q193" s="120"/>
      <c r="R193" s="127">
        <v>10198.7</v>
      </c>
      <c r="S193" s="127">
        <v>5.520234781</v>
      </c>
      <c r="T193" s="71"/>
      <c r="U193" s="71"/>
      <c r="V193" s="71"/>
      <c r="W193" s="104">
        <f t="shared" si="26"/>
        <v>905.9156042579067</v>
      </c>
      <c r="X193" s="104">
        <f t="shared" si="27"/>
        <v>533.8514497556888</v>
      </c>
    </row>
    <row r="194" spans="1:24" ht="15" customHeight="1" hidden="1">
      <c r="A194" s="43"/>
      <c r="B194" s="44" t="s">
        <v>104</v>
      </c>
      <c r="C194" s="44"/>
      <c r="D194" s="44"/>
      <c r="E194" s="54">
        <v>169.287</v>
      </c>
      <c r="F194" s="54">
        <v>4.268</v>
      </c>
      <c r="G194" s="62">
        <f t="shared" si="36"/>
        <v>173.555</v>
      </c>
      <c r="H194" s="63">
        <v>414226.37</v>
      </c>
      <c r="I194" s="120"/>
      <c r="J194" s="120">
        <v>377.73</v>
      </c>
      <c r="K194" s="120">
        <v>18527.17</v>
      </c>
      <c r="L194" s="124"/>
      <c r="M194" s="124"/>
      <c r="N194" s="124"/>
      <c r="O194" s="120">
        <v>95825</v>
      </c>
      <c r="P194" s="121">
        <v>3.39007</v>
      </c>
      <c r="Q194" s="124"/>
      <c r="R194" s="127">
        <v>10198.7</v>
      </c>
      <c r="S194" s="127">
        <v>5.520234781</v>
      </c>
      <c r="T194" s="71"/>
      <c r="U194" s="71"/>
      <c r="V194" s="71"/>
      <c r="W194" s="104">
        <f t="shared" si="26"/>
        <v>878.3972272558503</v>
      </c>
      <c r="X194" s="104">
        <f t="shared" si="27"/>
        <v>517.6350104003853</v>
      </c>
    </row>
    <row r="195" spans="1:24" ht="15" customHeight="1" hidden="1">
      <c r="A195" s="43"/>
      <c r="B195" s="44" t="s">
        <v>105</v>
      </c>
      <c r="C195" s="44"/>
      <c r="D195" s="44"/>
      <c r="E195" s="54">
        <v>219.801</v>
      </c>
      <c r="F195" s="54">
        <v>4.94</v>
      </c>
      <c r="G195" s="62">
        <f t="shared" si="36"/>
        <v>224.74099999999999</v>
      </c>
      <c r="H195" s="63">
        <v>536392.77</v>
      </c>
      <c r="I195" s="120"/>
      <c r="J195" s="120">
        <v>452.95</v>
      </c>
      <c r="K195" s="120">
        <v>22216.9</v>
      </c>
      <c r="L195" s="124"/>
      <c r="M195" s="124"/>
      <c r="N195" s="124"/>
      <c r="O195" s="120">
        <v>108213</v>
      </c>
      <c r="P195" s="121">
        <v>3.39864</v>
      </c>
      <c r="Q195" s="124"/>
      <c r="R195" s="127">
        <v>10198.7</v>
      </c>
      <c r="S195" s="127">
        <v>5.394975791</v>
      </c>
      <c r="T195" s="71"/>
      <c r="U195" s="71"/>
      <c r="V195" s="71"/>
      <c r="W195" s="104">
        <f t="shared" si="26"/>
        <v>991.954074125096</v>
      </c>
      <c r="X195" s="104">
        <f t="shared" si="27"/>
        <v>584.5534816640428</v>
      </c>
    </row>
    <row r="196" spans="1:24" ht="15" customHeight="1" hidden="1">
      <c r="A196" s="43"/>
      <c r="B196" s="44" t="s">
        <v>106</v>
      </c>
      <c r="C196" s="44"/>
      <c r="D196" s="44"/>
      <c r="E196" s="54">
        <v>74.98</v>
      </c>
      <c r="F196" s="54">
        <v>6.254</v>
      </c>
      <c r="G196" s="62">
        <f t="shared" si="36"/>
        <v>81.23400000000001</v>
      </c>
      <c r="H196" s="63">
        <v>193882.75</v>
      </c>
      <c r="I196" s="120"/>
      <c r="J196" s="120">
        <v>546.25</v>
      </c>
      <c r="K196" s="120">
        <v>26792.75</v>
      </c>
      <c r="L196" s="124"/>
      <c r="M196" s="124"/>
      <c r="N196" s="124"/>
      <c r="O196" s="120">
        <v>98176</v>
      </c>
      <c r="P196" s="121">
        <v>3.31733</v>
      </c>
      <c r="Q196" s="124"/>
      <c r="R196" s="127">
        <v>10198.7</v>
      </c>
      <c r="S196" s="127">
        <v>5.394975791</v>
      </c>
      <c r="T196" s="71"/>
      <c r="U196" s="71"/>
      <c r="V196" s="71"/>
      <c r="W196" s="104">
        <f t="shared" si="26"/>
        <v>899.948094788107</v>
      </c>
      <c r="X196" s="104">
        <f t="shared" si="27"/>
        <v>530.3348268308712</v>
      </c>
    </row>
    <row r="197" spans="1:24" ht="15" customHeight="1" hidden="1">
      <c r="A197" s="43"/>
      <c r="B197" s="44" t="s">
        <v>107</v>
      </c>
      <c r="C197" s="44"/>
      <c r="D197" s="44"/>
      <c r="E197" s="54"/>
      <c r="F197" s="54">
        <v>1.072</v>
      </c>
      <c r="G197" s="62">
        <f t="shared" si="36"/>
        <v>1.072</v>
      </c>
      <c r="H197" s="63">
        <v>2558.56</v>
      </c>
      <c r="I197" s="124"/>
      <c r="J197" s="124"/>
      <c r="K197" s="124"/>
      <c r="L197" s="124"/>
      <c r="M197" s="124"/>
      <c r="N197" s="124"/>
      <c r="O197" s="60">
        <v>0</v>
      </c>
      <c r="P197" s="121">
        <v>3.40847</v>
      </c>
      <c r="Q197" s="124"/>
      <c r="R197" s="71"/>
      <c r="S197" s="71"/>
      <c r="T197" s="71"/>
      <c r="U197" s="71"/>
      <c r="V197" s="71"/>
      <c r="W197" s="104">
        <f t="shared" si="26"/>
        <v>0</v>
      </c>
      <c r="X197" s="104">
        <f t="shared" si="27"/>
        <v>0</v>
      </c>
    </row>
    <row r="198" spans="1:24" ht="15" customHeight="1" hidden="1">
      <c r="A198" s="43"/>
      <c r="B198" s="44" t="s">
        <v>108</v>
      </c>
      <c r="C198" s="44"/>
      <c r="D198" s="44"/>
      <c r="E198" s="54"/>
      <c r="F198" s="54">
        <v>5.706</v>
      </c>
      <c r="G198" s="62">
        <f t="shared" si="36"/>
        <v>5.706</v>
      </c>
      <c r="H198" s="63">
        <v>13618.59</v>
      </c>
      <c r="I198" s="124"/>
      <c r="J198" s="124"/>
      <c r="K198" s="124"/>
      <c r="L198" s="124"/>
      <c r="M198" s="124"/>
      <c r="N198" s="124"/>
      <c r="O198" s="60">
        <v>0</v>
      </c>
      <c r="P198" s="121">
        <v>3.44841</v>
      </c>
      <c r="Q198" s="124"/>
      <c r="R198" s="71"/>
      <c r="S198" s="71"/>
      <c r="T198" s="71"/>
      <c r="U198" s="71"/>
      <c r="V198" s="71"/>
      <c r="W198" s="104">
        <f t="shared" si="26"/>
        <v>0</v>
      </c>
      <c r="X198" s="104">
        <f t="shared" si="27"/>
        <v>0</v>
      </c>
    </row>
    <row r="199" spans="1:24" ht="15" customHeight="1" hidden="1">
      <c r="A199" s="43"/>
      <c r="B199" s="220" t="s">
        <v>109</v>
      </c>
      <c r="C199" s="220" t="s">
        <v>81</v>
      </c>
      <c r="D199" s="220"/>
      <c r="E199" s="220"/>
      <c r="F199" s="220"/>
      <c r="G199" s="220"/>
      <c r="H199" s="220"/>
      <c r="I199" s="118" t="s">
        <v>82</v>
      </c>
      <c r="J199" s="118" t="s">
        <v>83</v>
      </c>
      <c r="K199" s="118" t="s">
        <v>84</v>
      </c>
      <c r="L199" s="199"/>
      <c r="M199" s="199"/>
      <c r="N199" s="228"/>
      <c r="O199" s="222"/>
      <c r="P199" s="223"/>
      <c r="Q199" s="199"/>
      <c r="R199" s="71"/>
      <c r="S199" s="71"/>
      <c r="T199" s="71"/>
      <c r="U199" s="71"/>
      <c r="V199" s="71"/>
      <c r="W199" s="104">
        <f t="shared" si="26"/>
        <v>0</v>
      </c>
      <c r="X199" s="104">
        <f t="shared" si="27"/>
        <v>0</v>
      </c>
    </row>
    <row r="200" spans="1:24" ht="15" customHeight="1" hidden="1">
      <c r="A200" s="43"/>
      <c r="B200" s="220"/>
      <c r="C200" s="220">
        <v>2103.15</v>
      </c>
      <c r="D200" s="220"/>
      <c r="E200" s="220"/>
      <c r="F200" s="220"/>
      <c r="G200" s="220"/>
      <c r="H200" s="220"/>
      <c r="I200" s="126">
        <v>26.61</v>
      </c>
      <c r="J200" s="126">
        <f>I200*1.18</f>
        <v>31.3998</v>
      </c>
      <c r="K200" s="226">
        <f>J202+J200</f>
        <v>51.61319999999999</v>
      </c>
      <c r="L200" s="199"/>
      <c r="M200" s="199"/>
      <c r="N200" s="228"/>
      <c r="O200" s="222"/>
      <c r="P200" s="223"/>
      <c r="Q200" s="199"/>
      <c r="R200" s="71"/>
      <c r="S200" s="71"/>
      <c r="T200" s="71"/>
      <c r="U200" s="71"/>
      <c r="V200" s="71"/>
      <c r="W200" s="104">
        <f t="shared" si="26"/>
        <v>0</v>
      </c>
      <c r="X200" s="104">
        <f t="shared" si="27"/>
        <v>0</v>
      </c>
    </row>
    <row r="201" spans="1:24" ht="15" customHeight="1" hidden="1">
      <c r="A201" s="43"/>
      <c r="B201" s="220"/>
      <c r="C201" s="220" t="s">
        <v>93</v>
      </c>
      <c r="D201" s="220"/>
      <c r="E201" s="220"/>
      <c r="F201" s="220"/>
      <c r="G201" s="220"/>
      <c r="H201" s="220"/>
      <c r="I201" s="118" t="s">
        <v>110</v>
      </c>
      <c r="J201" s="118" t="s">
        <v>83</v>
      </c>
      <c r="K201" s="226"/>
      <c r="L201" s="199"/>
      <c r="M201" s="199"/>
      <c r="N201" s="228"/>
      <c r="O201" s="222"/>
      <c r="P201" s="223"/>
      <c r="Q201" s="199"/>
      <c r="R201" s="71"/>
      <c r="S201" s="71"/>
      <c r="T201" s="71"/>
      <c r="U201" s="71"/>
      <c r="V201" s="71"/>
      <c r="W201" s="104">
        <f t="shared" si="26"/>
        <v>0</v>
      </c>
      <c r="X201" s="104">
        <f t="shared" si="27"/>
        <v>0</v>
      </c>
    </row>
    <row r="202" spans="1:24" ht="15" customHeight="1" hidden="1">
      <c r="A202" s="43"/>
      <c r="B202" s="220"/>
      <c r="C202" s="225">
        <f>C200*1.18</f>
        <v>2481.717</v>
      </c>
      <c r="D202" s="225"/>
      <c r="E202" s="225"/>
      <c r="F202" s="225"/>
      <c r="G202" s="225"/>
      <c r="H202" s="225"/>
      <c r="I202" s="126">
        <v>17.13</v>
      </c>
      <c r="J202" s="126">
        <f>I202*1.18</f>
        <v>20.213399999999996</v>
      </c>
      <c r="K202" s="226"/>
      <c r="L202" s="199"/>
      <c r="M202" s="199"/>
      <c r="N202" s="228"/>
      <c r="O202" s="222"/>
      <c r="P202" s="223"/>
      <c r="Q202" s="199"/>
      <c r="R202" s="71"/>
      <c r="S202" s="71"/>
      <c r="T202" s="71"/>
      <c r="U202" s="71"/>
      <c r="V202" s="71"/>
      <c r="W202" s="104">
        <f t="shared" si="26"/>
        <v>0</v>
      </c>
      <c r="X202" s="104">
        <f t="shared" si="27"/>
        <v>0</v>
      </c>
    </row>
    <row r="203" spans="1:24" ht="15" customHeight="1" hidden="1">
      <c r="A203" s="43"/>
      <c r="B203" s="44" t="s">
        <v>111</v>
      </c>
      <c r="C203" s="54"/>
      <c r="D203" s="54"/>
      <c r="E203" s="62"/>
      <c r="F203" s="62">
        <v>5.639</v>
      </c>
      <c r="G203" s="62">
        <f aca="true" t="shared" si="37" ref="G203:G208">F203+E203</f>
        <v>5.639</v>
      </c>
      <c r="H203" s="60">
        <v>13994.4</v>
      </c>
      <c r="I203" s="124"/>
      <c r="J203" s="124"/>
      <c r="K203" s="124"/>
      <c r="L203" s="124"/>
      <c r="M203" s="124"/>
      <c r="N203" s="58"/>
      <c r="O203" s="60">
        <v>0</v>
      </c>
      <c r="P203" s="121">
        <v>4.06379</v>
      </c>
      <c r="Q203" s="124"/>
      <c r="R203" s="71"/>
      <c r="S203" s="71"/>
      <c r="T203" s="71"/>
      <c r="U203" s="71"/>
      <c r="V203" s="71"/>
      <c r="W203" s="104">
        <f t="shared" si="26"/>
        <v>0</v>
      </c>
      <c r="X203" s="104">
        <f t="shared" si="27"/>
        <v>0</v>
      </c>
    </row>
    <row r="204" spans="1:24" ht="15" customHeight="1" hidden="1">
      <c r="A204" s="43"/>
      <c r="B204" s="44" t="s">
        <v>112</v>
      </c>
      <c r="C204" s="54"/>
      <c r="D204" s="54"/>
      <c r="E204" s="62"/>
      <c r="F204" s="62">
        <v>0</v>
      </c>
      <c r="G204" s="62">
        <f t="shared" si="37"/>
        <v>0</v>
      </c>
      <c r="H204" s="60">
        <v>0</v>
      </c>
      <c r="I204" s="124"/>
      <c r="J204" s="124"/>
      <c r="K204" s="124"/>
      <c r="L204" s="124"/>
      <c r="M204" s="124"/>
      <c r="N204" s="58"/>
      <c r="O204" s="60">
        <v>0</v>
      </c>
      <c r="P204" s="121">
        <v>4.14442</v>
      </c>
      <c r="Q204" s="124"/>
      <c r="R204" s="71"/>
      <c r="S204" s="71"/>
      <c r="T204" s="71"/>
      <c r="U204" s="71"/>
      <c r="V204" s="71"/>
      <c r="W204" s="104">
        <f t="shared" si="26"/>
        <v>0</v>
      </c>
      <c r="X204" s="104">
        <f t="shared" si="27"/>
        <v>0</v>
      </c>
    </row>
    <row r="205" spans="1:24" ht="15" customHeight="1" hidden="1">
      <c r="A205" s="43"/>
      <c r="B205" s="44" t="s">
        <v>113</v>
      </c>
      <c r="C205" s="54"/>
      <c r="D205" s="54"/>
      <c r="E205" s="62"/>
      <c r="F205" s="62">
        <v>0</v>
      </c>
      <c r="G205" s="62">
        <f t="shared" si="37"/>
        <v>0</v>
      </c>
      <c r="H205" s="60">
        <v>0</v>
      </c>
      <c r="I205" s="124"/>
      <c r="J205" s="124"/>
      <c r="K205" s="124"/>
      <c r="L205" s="124"/>
      <c r="M205" s="124"/>
      <c r="N205" s="58"/>
      <c r="O205" s="60">
        <v>0</v>
      </c>
      <c r="P205" s="121">
        <v>3.75833</v>
      </c>
      <c r="Q205" s="124"/>
      <c r="R205" s="71"/>
      <c r="S205" s="71"/>
      <c r="T205" s="71"/>
      <c r="U205" s="71"/>
      <c r="V205" s="71"/>
      <c r="W205" s="104">
        <f t="shared" si="26"/>
        <v>0</v>
      </c>
      <c r="X205" s="104">
        <f t="shared" si="27"/>
        <v>0</v>
      </c>
    </row>
    <row r="206" spans="1:24" ht="15" customHeight="1" hidden="1">
      <c r="A206" s="43"/>
      <c r="B206" s="118" t="s">
        <v>114</v>
      </c>
      <c r="C206" s="54"/>
      <c r="D206" s="54"/>
      <c r="E206" s="62"/>
      <c r="F206" s="62">
        <v>0</v>
      </c>
      <c r="G206" s="62">
        <f t="shared" si="37"/>
        <v>0</v>
      </c>
      <c r="H206" s="60">
        <v>0</v>
      </c>
      <c r="I206" s="58"/>
      <c r="J206" s="124"/>
      <c r="K206" s="124"/>
      <c r="L206" s="124"/>
      <c r="M206" s="124"/>
      <c r="N206" s="58"/>
      <c r="O206" s="60">
        <v>0</v>
      </c>
      <c r="P206" s="121">
        <v>3.19572</v>
      </c>
      <c r="Q206" s="124"/>
      <c r="R206" s="71"/>
      <c r="S206" s="71"/>
      <c r="T206" s="71"/>
      <c r="U206" s="71"/>
      <c r="V206" s="71"/>
      <c r="W206" s="104">
        <f t="shared" si="26"/>
        <v>0</v>
      </c>
      <c r="X206" s="104">
        <f t="shared" si="27"/>
        <v>0</v>
      </c>
    </row>
    <row r="207" spans="1:24" ht="15" customHeight="1" hidden="1">
      <c r="A207" s="43"/>
      <c r="B207" s="118" t="s">
        <v>115</v>
      </c>
      <c r="C207" s="54"/>
      <c r="D207" s="54"/>
      <c r="E207" s="62"/>
      <c r="F207" s="62">
        <v>0</v>
      </c>
      <c r="G207" s="62">
        <f t="shared" si="37"/>
        <v>0</v>
      </c>
      <c r="H207" s="60">
        <v>0</v>
      </c>
      <c r="I207" s="124"/>
      <c r="J207" s="124"/>
      <c r="K207" s="124"/>
      <c r="L207" s="124"/>
      <c r="M207" s="124"/>
      <c r="N207" s="124"/>
      <c r="O207" s="124"/>
      <c r="P207" s="78"/>
      <c r="Q207" s="124"/>
      <c r="R207" s="71"/>
      <c r="S207" s="71"/>
      <c r="T207" s="71"/>
      <c r="U207" s="71"/>
      <c r="V207" s="71"/>
      <c r="W207" s="104">
        <f t="shared" si="26"/>
        <v>0</v>
      </c>
      <c r="X207" s="104">
        <f t="shared" si="27"/>
        <v>0</v>
      </c>
    </row>
    <row r="208" spans="1:24" ht="15" customHeight="1" hidden="1">
      <c r="A208" s="43"/>
      <c r="B208" s="118" t="s">
        <v>116</v>
      </c>
      <c r="C208" s="54"/>
      <c r="D208" s="54"/>
      <c r="E208" s="62"/>
      <c r="F208" s="62">
        <v>0</v>
      </c>
      <c r="G208" s="62">
        <f t="shared" si="37"/>
        <v>0</v>
      </c>
      <c r="H208" s="60">
        <v>0</v>
      </c>
      <c r="I208" s="124"/>
      <c r="J208" s="124"/>
      <c r="K208" s="124"/>
      <c r="L208" s="124"/>
      <c r="M208" s="124"/>
      <c r="N208" s="124"/>
      <c r="O208" s="124"/>
      <c r="P208" s="78"/>
      <c r="Q208" s="124"/>
      <c r="R208" s="71"/>
      <c r="S208" s="71"/>
      <c r="T208" s="71"/>
      <c r="U208" s="71"/>
      <c r="V208" s="71"/>
      <c r="W208" s="104">
        <f t="shared" si="26"/>
        <v>0</v>
      </c>
      <c r="X208" s="104">
        <f t="shared" si="27"/>
        <v>0</v>
      </c>
    </row>
    <row r="209" spans="1:24" ht="15" customHeight="1" hidden="1">
      <c r="A209" s="43"/>
      <c r="B209" s="118" t="s">
        <v>117</v>
      </c>
      <c r="C209" s="77"/>
      <c r="D209" s="77"/>
      <c r="E209" s="75">
        <f aca="true" t="shared" si="38" ref="E209:K209">E208+E207+E206+E205+E204+E203+E198+E197+E196+E195+E194+E193</f>
        <v>665.748</v>
      </c>
      <c r="F209" s="75">
        <f t="shared" si="38"/>
        <v>32.416000000000004</v>
      </c>
      <c r="G209" s="88"/>
      <c r="H209" s="124">
        <f t="shared" si="38"/>
        <v>1666854.69</v>
      </c>
      <c r="I209" s="124">
        <f t="shared" si="38"/>
        <v>0</v>
      </c>
      <c r="J209" s="124">
        <f t="shared" si="38"/>
        <v>1753.95</v>
      </c>
      <c r="K209" s="124">
        <f t="shared" si="38"/>
        <v>86028.99</v>
      </c>
      <c r="L209" s="58"/>
      <c r="M209" s="58"/>
      <c r="N209" s="124"/>
      <c r="O209" s="124">
        <f>SUM(O193:O208)</f>
        <v>401041</v>
      </c>
      <c r="P209" s="78"/>
      <c r="Q209" s="58"/>
      <c r="R209" s="71"/>
      <c r="S209" s="71"/>
      <c r="T209" s="71"/>
      <c r="U209" s="71"/>
      <c r="V209" s="71"/>
      <c r="W209" s="104">
        <f t="shared" si="26"/>
        <v>3676.2150004269597</v>
      </c>
      <c r="X209" s="104">
        <f t="shared" si="27"/>
        <v>2166.3747686509882</v>
      </c>
    </row>
    <row r="210" spans="1:24" ht="15" customHeight="1">
      <c r="A210" s="42">
        <v>10</v>
      </c>
      <c r="B210" s="221" t="s">
        <v>142</v>
      </c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71"/>
      <c r="S210" s="71"/>
      <c r="T210" s="71" t="s">
        <v>79</v>
      </c>
      <c r="U210" s="71"/>
      <c r="V210" s="71"/>
      <c r="W210" s="104"/>
      <c r="X210" s="104"/>
    </row>
    <row r="211" spans="1:24" ht="15" customHeight="1" hidden="1">
      <c r="A211" s="43"/>
      <c r="B211" s="199" t="s">
        <v>80</v>
      </c>
      <c r="C211" s="199" t="s">
        <v>81</v>
      </c>
      <c r="D211" s="199"/>
      <c r="E211" s="199"/>
      <c r="F211" s="199"/>
      <c r="G211" s="199"/>
      <c r="H211" s="199"/>
      <c r="I211" s="118" t="s">
        <v>82</v>
      </c>
      <c r="J211" s="118" t="s">
        <v>83</v>
      </c>
      <c r="K211" s="118" t="s">
        <v>84</v>
      </c>
      <c r="L211" s="199" t="s">
        <v>85</v>
      </c>
      <c r="M211" s="199" t="s">
        <v>86</v>
      </c>
      <c r="N211" s="199" t="s">
        <v>87</v>
      </c>
      <c r="O211" s="199" t="s">
        <v>88</v>
      </c>
      <c r="P211" s="200" t="s">
        <v>89</v>
      </c>
      <c r="Q211" s="199" t="s">
        <v>90</v>
      </c>
      <c r="R211" s="71"/>
      <c r="S211" s="71"/>
      <c r="T211" s="74">
        <v>860244</v>
      </c>
      <c r="U211" s="71"/>
      <c r="V211" s="71"/>
      <c r="W211" s="104" t="e">
        <f t="shared" si="26"/>
        <v>#VALUE!</v>
      </c>
      <c r="X211" s="104" t="e">
        <f t="shared" si="27"/>
        <v>#VALUE!</v>
      </c>
    </row>
    <row r="212" spans="1:24" ht="15" customHeight="1" hidden="1">
      <c r="A212" s="43"/>
      <c r="B212" s="199"/>
      <c r="C212" s="199">
        <v>2022.64</v>
      </c>
      <c r="D212" s="199"/>
      <c r="E212" s="199"/>
      <c r="F212" s="199"/>
      <c r="G212" s="199"/>
      <c r="H212" s="199"/>
      <c r="I212" s="126">
        <v>25.35</v>
      </c>
      <c r="J212" s="126">
        <v>29.913</v>
      </c>
      <c r="K212" s="226">
        <v>49.053</v>
      </c>
      <c r="L212" s="199"/>
      <c r="M212" s="199"/>
      <c r="N212" s="199"/>
      <c r="O212" s="199"/>
      <c r="P212" s="200"/>
      <c r="Q212" s="199"/>
      <c r="R212" s="71"/>
      <c r="S212" s="71"/>
      <c r="T212" s="71"/>
      <c r="U212" s="71"/>
      <c r="V212" s="71"/>
      <c r="W212" s="104">
        <f t="shared" si="26"/>
        <v>0</v>
      </c>
      <c r="X212" s="104">
        <f t="shared" si="27"/>
        <v>0</v>
      </c>
    </row>
    <row r="213" spans="1:24" ht="15" customHeight="1" hidden="1">
      <c r="A213" s="43"/>
      <c r="B213" s="199"/>
      <c r="C213" s="199" t="s">
        <v>93</v>
      </c>
      <c r="D213" s="199"/>
      <c r="E213" s="199"/>
      <c r="F213" s="199"/>
      <c r="G213" s="199"/>
      <c r="H213" s="199"/>
      <c r="I213" s="118" t="s">
        <v>94</v>
      </c>
      <c r="J213" s="118" t="s">
        <v>83</v>
      </c>
      <c r="K213" s="226"/>
      <c r="L213" s="199"/>
      <c r="M213" s="199"/>
      <c r="N213" s="199"/>
      <c r="O213" s="199"/>
      <c r="P213" s="200"/>
      <c r="Q213" s="199"/>
      <c r="R213" s="71"/>
      <c r="S213" s="71"/>
      <c r="T213" s="71"/>
      <c r="U213" s="71"/>
      <c r="V213" s="71"/>
      <c r="W213" s="104">
        <f t="shared" si="26"/>
        <v>0</v>
      </c>
      <c r="X213" s="104">
        <f t="shared" si="27"/>
        <v>0</v>
      </c>
    </row>
    <row r="214" spans="1:24" ht="15" customHeight="1" hidden="1">
      <c r="A214" s="43"/>
      <c r="B214" s="199"/>
      <c r="C214" s="207">
        <v>2386.7152</v>
      </c>
      <c r="D214" s="207"/>
      <c r="E214" s="207"/>
      <c r="F214" s="207"/>
      <c r="G214" s="207"/>
      <c r="H214" s="207"/>
      <c r="I214" s="126">
        <v>16.22</v>
      </c>
      <c r="J214" s="126">
        <v>19.139599999999998</v>
      </c>
      <c r="K214" s="226"/>
      <c r="L214" s="199"/>
      <c r="M214" s="199"/>
      <c r="N214" s="199"/>
      <c r="O214" s="199"/>
      <c r="P214" s="200"/>
      <c r="Q214" s="199"/>
      <c r="R214" s="71"/>
      <c r="S214" s="71"/>
      <c r="T214" s="71"/>
      <c r="U214" s="71"/>
      <c r="V214" s="71"/>
      <c r="W214" s="104">
        <f t="shared" si="26"/>
        <v>0</v>
      </c>
      <c r="X214" s="104">
        <f t="shared" si="27"/>
        <v>0</v>
      </c>
    </row>
    <row r="215" spans="1:24" ht="45" customHeight="1" hidden="1">
      <c r="A215" s="43"/>
      <c r="B215" s="118" t="s">
        <v>96</v>
      </c>
      <c r="C215" s="118" t="s">
        <v>97</v>
      </c>
      <c r="D215" s="118" t="s">
        <v>98</v>
      </c>
      <c r="E215" s="118" t="s">
        <v>99</v>
      </c>
      <c r="F215" s="118" t="s">
        <v>100</v>
      </c>
      <c r="G215" s="118" t="s">
        <v>101</v>
      </c>
      <c r="H215" s="118" t="s">
        <v>90</v>
      </c>
      <c r="I215" s="118" t="s">
        <v>171</v>
      </c>
      <c r="J215" s="118" t="s">
        <v>102</v>
      </c>
      <c r="K215" s="118" t="s">
        <v>90</v>
      </c>
      <c r="L215" s="199"/>
      <c r="M215" s="199"/>
      <c r="N215" s="199"/>
      <c r="O215" s="199"/>
      <c r="P215" s="200"/>
      <c r="Q215" s="199"/>
      <c r="R215" s="71"/>
      <c r="S215" s="71"/>
      <c r="T215" s="71"/>
      <c r="U215" s="71"/>
      <c r="V215" s="71"/>
      <c r="W215" s="104">
        <f t="shared" si="26"/>
        <v>0</v>
      </c>
      <c r="X215" s="104">
        <f t="shared" si="27"/>
        <v>0</v>
      </c>
    </row>
    <row r="216" spans="1:24" ht="15" customHeight="1" hidden="1">
      <c r="A216" s="43"/>
      <c r="B216" s="44" t="s">
        <v>103</v>
      </c>
      <c r="C216" s="44"/>
      <c r="D216" s="44"/>
      <c r="E216" s="62">
        <v>4.844</v>
      </c>
      <c r="F216" s="62">
        <v>0.222</v>
      </c>
      <c r="G216" s="62">
        <v>5.066000000000001</v>
      </c>
      <c r="H216" s="60">
        <v>12091.1</v>
      </c>
      <c r="I216" s="120"/>
      <c r="J216" s="120">
        <v>9.61</v>
      </c>
      <c r="K216" s="120">
        <v>471.22</v>
      </c>
      <c r="L216" s="124"/>
      <c r="M216" s="124"/>
      <c r="N216" s="124"/>
      <c r="O216" s="120">
        <v>2035</v>
      </c>
      <c r="P216" s="121">
        <v>3.20931</v>
      </c>
      <c r="Q216" s="120">
        <f aca="true" t="shared" si="39" ref="Q216:Q221">P216*O216</f>
        <v>6530.94585</v>
      </c>
      <c r="R216" s="71"/>
      <c r="S216" s="71"/>
      <c r="T216" s="71"/>
      <c r="U216" s="71"/>
      <c r="V216" s="71"/>
      <c r="W216" s="104">
        <f t="shared" si="26"/>
        <v>18.654196268882394</v>
      </c>
      <c r="X216" s="104">
        <f t="shared" si="27"/>
        <v>10.992822814138108</v>
      </c>
    </row>
    <row r="217" spans="1:24" ht="15" customHeight="1" hidden="1">
      <c r="A217" s="43"/>
      <c r="B217" s="44" t="s">
        <v>104</v>
      </c>
      <c r="C217" s="44"/>
      <c r="D217" s="44"/>
      <c r="E217" s="44">
        <v>4.066</v>
      </c>
      <c r="F217" s="44">
        <v>0.208</v>
      </c>
      <c r="G217" s="62">
        <v>4.274</v>
      </c>
      <c r="H217" s="63">
        <v>10200.82</v>
      </c>
      <c r="I217" s="120"/>
      <c r="J217" s="120">
        <v>9.63</v>
      </c>
      <c r="K217" s="120">
        <v>472.11</v>
      </c>
      <c r="L217" s="124"/>
      <c r="M217" s="124"/>
      <c r="N217" s="124"/>
      <c r="O217" s="120">
        <v>1638</v>
      </c>
      <c r="P217" s="121">
        <v>3.39007</v>
      </c>
      <c r="Q217" s="120">
        <f t="shared" si="39"/>
        <v>5552.93466</v>
      </c>
      <c r="R217" s="71"/>
      <c r="S217" s="71"/>
      <c r="T217" s="71"/>
      <c r="U217" s="71"/>
      <c r="V217" s="71"/>
      <c r="W217" s="104">
        <f t="shared" si="26"/>
        <v>15.015023827238014</v>
      </c>
      <c r="X217" s="104">
        <f t="shared" si="27"/>
        <v>8.848277036637946</v>
      </c>
    </row>
    <row r="218" spans="1:24" ht="15" customHeight="1" hidden="1">
      <c r="A218" s="43"/>
      <c r="B218" s="44" t="s">
        <v>105</v>
      </c>
      <c r="C218" s="44"/>
      <c r="D218" s="44"/>
      <c r="E218" s="44">
        <v>5.279</v>
      </c>
      <c r="F218" s="44">
        <v>0.241</v>
      </c>
      <c r="G218" s="62">
        <v>5.52</v>
      </c>
      <c r="H218" s="63">
        <v>13174.66</v>
      </c>
      <c r="I218" s="120"/>
      <c r="J218" s="120">
        <v>11.54</v>
      </c>
      <c r="K218" s="120">
        <v>566.13</v>
      </c>
      <c r="L218" s="124"/>
      <c r="M218" s="124"/>
      <c r="N218" s="124"/>
      <c r="O218" s="120">
        <v>1375</v>
      </c>
      <c r="P218" s="121">
        <v>3.39864</v>
      </c>
      <c r="Q218" s="120">
        <f t="shared" si="39"/>
        <v>4673.13</v>
      </c>
      <c r="R218" s="71"/>
      <c r="S218" s="71"/>
      <c r="T218" s="71"/>
      <c r="U218" s="71"/>
      <c r="V218" s="71"/>
      <c r="W218" s="104">
        <f aca="true" t="shared" si="40" ref="W218:W279">O218*$W$456/$O$456</f>
        <v>12.604186668163779</v>
      </c>
      <c r="X218" s="104">
        <f aca="true" t="shared" si="41" ref="X218:X279">O218*$X$456/$O$456</f>
        <v>7.427582982525749</v>
      </c>
    </row>
    <row r="219" spans="1:24" ht="15" customHeight="1" hidden="1">
      <c r="A219" s="43"/>
      <c r="B219" s="44" t="s">
        <v>106</v>
      </c>
      <c r="C219" s="44"/>
      <c r="D219" s="44"/>
      <c r="E219" s="44">
        <v>1.801</v>
      </c>
      <c r="F219" s="44">
        <v>0.305</v>
      </c>
      <c r="G219" s="62">
        <v>2.106</v>
      </c>
      <c r="H219" s="63">
        <v>5026.43</v>
      </c>
      <c r="I219" s="120"/>
      <c r="J219" s="120">
        <v>13.92</v>
      </c>
      <c r="K219" s="120">
        <v>682.74</v>
      </c>
      <c r="L219" s="124"/>
      <c r="M219" s="124"/>
      <c r="N219" s="124"/>
      <c r="O219" s="120">
        <v>1335</v>
      </c>
      <c r="P219" s="121">
        <v>3.31733</v>
      </c>
      <c r="Q219" s="120">
        <f t="shared" si="39"/>
        <v>4428.63555</v>
      </c>
      <c r="R219" s="71"/>
      <c r="S219" s="71"/>
      <c r="T219" s="71"/>
      <c r="U219" s="71"/>
      <c r="V219" s="71"/>
      <c r="W219" s="104">
        <f t="shared" si="40"/>
        <v>12.237519419635378</v>
      </c>
      <c r="X219" s="104">
        <f t="shared" si="41"/>
        <v>7.211507841215909</v>
      </c>
    </row>
    <row r="220" spans="1:24" ht="15" customHeight="1" hidden="1">
      <c r="A220" s="43"/>
      <c r="B220" s="44" t="s">
        <v>107</v>
      </c>
      <c r="C220" s="44"/>
      <c r="D220" s="44"/>
      <c r="E220" s="44"/>
      <c r="F220" s="44">
        <v>0.325</v>
      </c>
      <c r="G220" s="62">
        <v>0.325</v>
      </c>
      <c r="H220" s="63">
        <v>775.68</v>
      </c>
      <c r="I220" s="120"/>
      <c r="J220" s="120">
        <v>19.03</v>
      </c>
      <c r="K220" s="120">
        <v>933.35</v>
      </c>
      <c r="L220" s="124"/>
      <c r="M220" s="124"/>
      <c r="N220" s="124"/>
      <c r="O220" s="120">
        <v>1578</v>
      </c>
      <c r="P220" s="121">
        <v>3.40847</v>
      </c>
      <c r="Q220" s="120">
        <f t="shared" si="39"/>
        <v>5378.56566</v>
      </c>
      <c r="R220" s="71"/>
      <c r="S220" s="71"/>
      <c r="T220" s="71"/>
      <c r="U220" s="71"/>
      <c r="V220" s="71"/>
      <c r="W220" s="104">
        <f t="shared" si="40"/>
        <v>14.465022954445413</v>
      </c>
      <c r="X220" s="104">
        <f t="shared" si="41"/>
        <v>8.524164324673187</v>
      </c>
    </row>
    <row r="221" spans="1:24" ht="15" customHeight="1" hidden="1">
      <c r="A221" s="43"/>
      <c r="B221" s="44" t="s">
        <v>108</v>
      </c>
      <c r="C221" s="44"/>
      <c r="D221" s="44"/>
      <c r="E221" s="44"/>
      <c r="F221" s="44">
        <v>0.279</v>
      </c>
      <c r="G221" s="62">
        <v>0.279</v>
      </c>
      <c r="H221" s="63">
        <v>665.9</v>
      </c>
      <c r="I221" s="120"/>
      <c r="J221" s="120">
        <v>15.96</v>
      </c>
      <c r="K221" s="120">
        <v>782.62</v>
      </c>
      <c r="L221" s="124"/>
      <c r="M221" s="124"/>
      <c r="N221" s="124"/>
      <c r="O221" s="120">
        <v>1304</v>
      </c>
      <c r="P221" s="121">
        <v>3.44841</v>
      </c>
      <c r="Q221" s="120">
        <f t="shared" si="39"/>
        <v>4496.72664</v>
      </c>
      <c r="R221" s="71"/>
      <c r="S221" s="71"/>
      <c r="T221" s="71"/>
      <c r="U221" s="71"/>
      <c r="V221" s="71"/>
      <c r="W221" s="104">
        <f t="shared" si="40"/>
        <v>11.953352302025868</v>
      </c>
      <c r="X221" s="104">
        <f t="shared" si="41"/>
        <v>7.044049606700782</v>
      </c>
    </row>
    <row r="222" spans="1:24" ht="15" customHeight="1" hidden="1">
      <c r="A222" s="43"/>
      <c r="B222" s="220" t="s">
        <v>109</v>
      </c>
      <c r="C222" s="220" t="s">
        <v>81</v>
      </c>
      <c r="D222" s="220"/>
      <c r="E222" s="220"/>
      <c r="F222" s="220"/>
      <c r="G222" s="220"/>
      <c r="H222" s="220"/>
      <c r="I222" s="118" t="s">
        <v>82</v>
      </c>
      <c r="J222" s="118" t="s">
        <v>83</v>
      </c>
      <c r="K222" s="118" t="s">
        <v>84</v>
      </c>
      <c r="L222" s="184"/>
      <c r="M222" s="184"/>
      <c r="N222" s="184"/>
      <c r="O222" s="201"/>
      <c r="P222" s="204"/>
      <c r="Q222" s="201"/>
      <c r="R222" s="71"/>
      <c r="S222" s="71"/>
      <c r="T222" s="71"/>
      <c r="U222" s="71"/>
      <c r="V222" s="71"/>
      <c r="W222" s="104">
        <f t="shared" si="40"/>
        <v>0</v>
      </c>
      <c r="X222" s="104">
        <f t="shared" si="41"/>
        <v>0</v>
      </c>
    </row>
    <row r="223" spans="1:24" ht="15" customHeight="1" hidden="1">
      <c r="A223" s="43"/>
      <c r="B223" s="220"/>
      <c r="C223" s="220">
        <v>2103.15</v>
      </c>
      <c r="D223" s="220"/>
      <c r="E223" s="220"/>
      <c r="F223" s="220"/>
      <c r="G223" s="220"/>
      <c r="H223" s="220"/>
      <c r="I223" s="126">
        <v>26.61</v>
      </c>
      <c r="J223" s="126">
        <v>31.3998</v>
      </c>
      <c r="K223" s="226">
        <v>51.61319999999999</v>
      </c>
      <c r="L223" s="185"/>
      <c r="M223" s="185"/>
      <c r="N223" s="185"/>
      <c r="O223" s="202"/>
      <c r="P223" s="205"/>
      <c r="Q223" s="202"/>
      <c r="R223" s="71"/>
      <c r="S223" s="71"/>
      <c r="T223" s="71"/>
      <c r="U223" s="71"/>
      <c r="V223" s="71"/>
      <c r="W223" s="104">
        <f t="shared" si="40"/>
        <v>0</v>
      </c>
      <c r="X223" s="104">
        <f t="shared" si="41"/>
        <v>0</v>
      </c>
    </row>
    <row r="224" spans="1:24" ht="15" customHeight="1" hidden="1">
      <c r="A224" s="43"/>
      <c r="B224" s="220"/>
      <c r="C224" s="220" t="s">
        <v>93</v>
      </c>
      <c r="D224" s="220"/>
      <c r="E224" s="220"/>
      <c r="F224" s="220"/>
      <c r="G224" s="220"/>
      <c r="H224" s="220"/>
      <c r="I224" s="118" t="s">
        <v>110</v>
      </c>
      <c r="J224" s="118" t="s">
        <v>83</v>
      </c>
      <c r="K224" s="226"/>
      <c r="L224" s="185"/>
      <c r="M224" s="185"/>
      <c r="N224" s="185"/>
      <c r="O224" s="202"/>
      <c r="P224" s="205"/>
      <c r="Q224" s="202"/>
      <c r="R224" s="71"/>
      <c r="S224" s="71"/>
      <c r="T224" s="71"/>
      <c r="U224" s="71"/>
      <c r="V224" s="71"/>
      <c r="W224" s="104">
        <f t="shared" si="40"/>
        <v>0</v>
      </c>
      <c r="X224" s="104">
        <f t="shared" si="41"/>
        <v>0</v>
      </c>
    </row>
    <row r="225" spans="1:24" ht="15" customHeight="1" hidden="1">
      <c r="A225" s="43"/>
      <c r="B225" s="220"/>
      <c r="C225" s="225">
        <v>2481.717</v>
      </c>
      <c r="D225" s="225"/>
      <c r="E225" s="225"/>
      <c r="F225" s="225"/>
      <c r="G225" s="225"/>
      <c r="H225" s="225"/>
      <c r="I225" s="126">
        <v>17.13</v>
      </c>
      <c r="J225" s="126">
        <v>20.213399999999996</v>
      </c>
      <c r="K225" s="226"/>
      <c r="L225" s="186"/>
      <c r="M225" s="186"/>
      <c r="N225" s="186"/>
      <c r="O225" s="203"/>
      <c r="P225" s="206"/>
      <c r="Q225" s="203"/>
      <c r="R225" s="71"/>
      <c r="S225" s="71"/>
      <c r="T225" s="71"/>
      <c r="U225" s="71"/>
      <c r="V225" s="71"/>
      <c r="W225" s="104">
        <f t="shared" si="40"/>
        <v>0</v>
      </c>
      <c r="X225" s="104">
        <f t="shared" si="41"/>
        <v>0</v>
      </c>
    </row>
    <row r="226" spans="1:24" ht="15" customHeight="1" hidden="1">
      <c r="A226" s="43"/>
      <c r="B226" s="45" t="s">
        <v>111</v>
      </c>
      <c r="C226" s="45"/>
      <c r="D226" s="45"/>
      <c r="E226" s="55"/>
      <c r="F226" s="46">
        <v>0.275</v>
      </c>
      <c r="G226" s="86">
        <v>0.275</v>
      </c>
      <c r="H226" s="56">
        <v>682.48</v>
      </c>
      <c r="I226" s="55"/>
      <c r="J226" s="55">
        <v>18.8</v>
      </c>
      <c r="K226" s="55">
        <v>970.27</v>
      </c>
      <c r="L226" s="124"/>
      <c r="M226" s="124"/>
      <c r="N226" s="124"/>
      <c r="O226" s="120">
        <v>1671</v>
      </c>
      <c r="P226" s="121">
        <v>4.06379</v>
      </c>
      <c r="Q226" s="120">
        <f>P226*O226</f>
        <v>6790.59309</v>
      </c>
      <c r="R226" s="71"/>
      <c r="S226" s="71"/>
      <c r="T226" s="71"/>
      <c r="U226" s="71"/>
      <c r="V226" s="71"/>
      <c r="W226" s="104">
        <f t="shared" si="40"/>
        <v>15.317524307273944</v>
      </c>
      <c r="X226" s="104">
        <f t="shared" si="41"/>
        <v>9.026539028218565</v>
      </c>
    </row>
    <row r="227" spans="1:24" ht="15" customHeight="1" hidden="1">
      <c r="A227" s="43"/>
      <c r="B227" s="45" t="s">
        <v>112</v>
      </c>
      <c r="C227" s="45"/>
      <c r="D227" s="45"/>
      <c r="E227" s="56"/>
      <c r="F227" s="46">
        <v>0.257</v>
      </c>
      <c r="G227" s="86">
        <v>0.257</v>
      </c>
      <c r="H227" s="56">
        <v>637.8</v>
      </c>
      <c r="I227" s="55"/>
      <c r="J227" s="55">
        <v>17.27</v>
      </c>
      <c r="K227" s="55">
        <v>891.27</v>
      </c>
      <c r="L227" s="124"/>
      <c r="M227" s="124"/>
      <c r="N227" s="124"/>
      <c r="O227" s="120">
        <v>1845</v>
      </c>
      <c r="P227" s="121">
        <v>4.14442</v>
      </c>
      <c r="Q227" s="120">
        <f>P227*O227</f>
        <v>7646.454900000001</v>
      </c>
      <c r="R227" s="71"/>
      <c r="S227" s="71"/>
      <c r="T227" s="71"/>
      <c r="U227" s="71"/>
      <c r="V227" s="71"/>
      <c r="W227" s="104">
        <f t="shared" si="40"/>
        <v>16.91252683837249</v>
      </c>
      <c r="X227" s="104">
        <f t="shared" si="41"/>
        <v>9.966465892916368</v>
      </c>
    </row>
    <row r="228" spans="1:24" ht="15" customHeight="1" hidden="1">
      <c r="A228" s="43"/>
      <c r="B228" s="44" t="s">
        <v>113</v>
      </c>
      <c r="C228" s="44"/>
      <c r="D228" s="44"/>
      <c r="E228" s="60"/>
      <c r="F228" s="47">
        <v>0.292</v>
      </c>
      <c r="G228" s="62">
        <v>0.292</v>
      </c>
      <c r="H228" s="60">
        <v>724.66</v>
      </c>
      <c r="I228" s="120"/>
      <c r="J228" s="120">
        <v>10.7</v>
      </c>
      <c r="K228" s="120">
        <v>552.1</v>
      </c>
      <c r="L228" s="124"/>
      <c r="M228" s="124"/>
      <c r="N228" s="124"/>
      <c r="O228" s="120">
        <v>1809</v>
      </c>
      <c r="P228" s="121">
        <v>3.75833</v>
      </c>
      <c r="Q228" s="120">
        <f>P228*O228</f>
        <v>6798.81897</v>
      </c>
      <c r="R228" s="71"/>
      <c r="S228" s="71"/>
      <c r="T228" s="71"/>
      <c r="U228" s="71"/>
      <c r="V228" s="71"/>
      <c r="W228" s="104">
        <f t="shared" si="40"/>
        <v>16.582526314696928</v>
      </c>
      <c r="X228" s="104">
        <f t="shared" si="41"/>
        <v>9.771998265737512</v>
      </c>
    </row>
    <row r="229" spans="1:24" ht="15" customHeight="1" hidden="1">
      <c r="A229" s="43"/>
      <c r="B229" s="44" t="s">
        <v>114</v>
      </c>
      <c r="C229" s="44"/>
      <c r="D229" s="44"/>
      <c r="E229" s="61">
        <v>3.349</v>
      </c>
      <c r="F229" s="47">
        <v>0.247</v>
      </c>
      <c r="G229" s="60"/>
      <c r="H229" s="60">
        <v>8924.56</v>
      </c>
      <c r="I229" s="60"/>
      <c r="J229" s="120">
        <v>14.78</v>
      </c>
      <c r="K229" s="120">
        <v>762.89</v>
      </c>
      <c r="L229" s="124"/>
      <c r="M229" s="124"/>
      <c r="N229" s="124"/>
      <c r="O229" s="120">
        <v>2189</v>
      </c>
      <c r="P229" s="121">
        <v>3.19572</v>
      </c>
      <c r="Q229" s="120">
        <f>P229*O229</f>
        <v>6995.43108</v>
      </c>
      <c r="R229" s="71"/>
      <c r="S229" s="71"/>
      <c r="T229" s="71"/>
      <c r="U229" s="71"/>
      <c r="V229" s="71"/>
      <c r="W229" s="104">
        <f t="shared" si="40"/>
        <v>20.065865175716738</v>
      </c>
      <c r="X229" s="104">
        <f t="shared" si="41"/>
        <v>11.824712108180991</v>
      </c>
    </row>
    <row r="230" spans="1:24" ht="15" customHeight="1" hidden="1">
      <c r="A230" s="43"/>
      <c r="B230" s="44" t="s">
        <v>115</v>
      </c>
      <c r="C230" s="44"/>
      <c r="D230" s="44"/>
      <c r="E230" s="61">
        <v>3.247</v>
      </c>
      <c r="F230" s="47">
        <v>0.259</v>
      </c>
      <c r="G230" s="120"/>
      <c r="H230" s="120">
        <v>8701.37</v>
      </c>
      <c r="I230" s="120"/>
      <c r="J230" s="120">
        <v>13.07</v>
      </c>
      <c r="K230" s="120">
        <v>674.64</v>
      </c>
      <c r="L230" s="124"/>
      <c r="M230" s="124"/>
      <c r="N230" s="124"/>
      <c r="O230" s="124">
        <v>1893</v>
      </c>
      <c r="P230" s="78"/>
      <c r="Q230" s="124"/>
      <c r="R230" s="71"/>
      <c r="S230" s="71"/>
      <c r="T230" s="71"/>
      <c r="U230" s="71"/>
      <c r="V230" s="71"/>
      <c r="W230" s="104">
        <f t="shared" si="40"/>
        <v>17.35252753660657</v>
      </c>
      <c r="X230" s="104">
        <f t="shared" si="41"/>
        <v>10.225756062488175</v>
      </c>
    </row>
    <row r="231" spans="1:24" ht="15" customHeight="1" hidden="1">
      <c r="A231" s="43"/>
      <c r="B231" s="44" t="s">
        <v>116</v>
      </c>
      <c r="C231" s="44"/>
      <c r="D231" s="44"/>
      <c r="E231" s="61">
        <v>3.973</v>
      </c>
      <c r="F231" s="47">
        <v>0.331</v>
      </c>
      <c r="G231" s="120"/>
      <c r="H231" s="120">
        <v>10681.81</v>
      </c>
      <c r="I231" s="120"/>
      <c r="J231" s="120">
        <v>13.76</v>
      </c>
      <c r="K231" s="120">
        <v>710.05</v>
      </c>
      <c r="L231" s="124"/>
      <c r="M231" s="124"/>
      <c r="N231" s="124"/>
      <c r="O231" s="124">
        <v>1723</v>
      </c>
      <c r="P231" s="78"/>
      <c r="Q231" s="124"/>
      <c r="R231" s="71"/>
      <c r="S231" s="71"/>
      <c r="T231" s="71"/>
      <c r="U231" s="71"/>
      <c r="V231" s="71"/>
      <c r="W231" s="104">
        <f t="shared" si="40"/>
        <v>15.794191730360865</v>
      </c>
      <c r="X231" s="104">
        <f t="shared" si="41"/>
        <v>9.307436711921357</v>
      </c>
    </row>
    <row r="232" spans="1:24" ht="15" customHeight="1">
      <c r="A232" s="43"/>
      <c r="B232" s="118" t="s">
        <v>117</v>
      </c>
      <c r="C232" s="124">
        <v>0</v>
      </c>
      <c r="D232" s="124">
        <v>0</v>
      </c>
      <c r="E232" s="59">
        <v>15.990000000000002</v>
      </c>
      <c r="F232" s="48">
        <v>2.404</v>
      </c>
      <c r="G232" s="59">
        <v>18.394</v>
      </c>
      <c r="H232" s="124">
        <v>43979.53</v>
      </c>
      <c r="I232" s="124">
        <v>0</v>
      </c>
      <c r="J232" s="124">
        <v>141.24</v>
      </c>
      <c r="K232" s="124">
        <v>6528.21</v>
      </c>
      <c r="L232" s="124">
        <f>L231+L230+L229+L228+L227+L226+L221+L220+L219+L218+L217+L216</f>
        <v>0</v>
      </c>
      <c r="M232" s="124">
        <f>M231+M230+M229+M228+M227+M226+M221+M220+M219+M218+M217+M216</f>
        <v>0</v>
      </c>
      <c r="N232" s="124">
        <f>N231+N230+N229+N228+N227+N226+N221+N220+N219+N218+N217+N216</f>
        <v>0</v>
      </c>
      <c r="O232" s="79">
        <v>1525</v>
      </c>
      <c r="P232" s="124"/>
      <c r="Q232" s="124">
        <f>Q231+Q230+Q229+Q228+Q227+Q226+Q221+Q220+Q219+Q218+Q217+Q216</f>
        <v>59292.236399999994</v>
      </c>
      <c r="R232" s="71"/>
      <c r="S232" s="71"/>
      <c r="T232" s="71"/>
      <c r="U232" s="71"/>
      <c r="V232" s="71">
        <v>60</v>
      </c>
      <c r="W232" s="104">
        <f t="shared" si="40"/>
        <v>13.979188850145283</v>
      </c>
      <c r="X232" s="104">
        <f t="shared" si="41"/>
        <v>8.237864762437649</v>
      </c>
    </row>
    <row r="233" spans="1:24" ht="15" customHeight="1" hidden="1">
      <c r="A233" s="42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71"/>
      <c r="S233" s="71"/>
      <c r="T233" s="71"/>
      <c r="U233" s="71"/>
      <c r="V233" s="71"/>
      <c r="W233" s="104">
        <f t="shared" si="40"/>
        <v>0</v>
      </c>
      <c r="X233" s="104">
        <f t="shared" si="41"/>
        <v>0</v>
      </c>
    </row>
    <row r="234" spans="1:24" s="38" customFormat="1" ht="15" customHeight="1">
      <c r="A234" s="42">
        <v>11</v>
      </c>
      <c r="B234" s="221" t="s">
        <v>143</v>
      </c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71"/>
      <c r="S234" s="71"/>
      <c r="T234" s="71" t="s">
        <v>79</v>
      </c>
      <c r="U234" s="71"/>
      <c r="V234" s="71"/>
      <c r="W234" s="104"/>
      <c r="X234" s="104"/>
    </row>
    <row r="235" spans="1:24" ht="15" customHeight="1" hidden="1">
      <c r="A235" s="43"/>
      <c r="B235" s="199" t="s">
        <v>80</v>
      </c>
      <c r="C235" s="199" t="s">
        <v>81</v>
      </c>
      <c r="D235" s="199"/>
      <c r="E235" s="199"/>
      <c r="F235" s="199"/>
      <c r="G235" s="199"/>
      <c r="H235" s="199"/>
      <c r="I235" s="118" t="s">
        <v>82</v>
      </c>
      <c r="J235" s="118" t="s">
        <v>83</v>
      </c>
      <c r="K235" s="118" t="s">
        <v>84</v>
      </c>
      <c r="L235" s="199" t="s">
        <v>85</v>
      </c>
      <c r="M235" s="199" t="s">
        <v>86</v>
      </c>
      <c r="N235" s="199" t="s">
        <v>87</v>
      </c>
      <c r="O235" s="199" t="s">
        <v>88</v>
      </c>
      <c r="P235" s="200" t="s">
        <v>89</v>
      </c>
      <c r="Q235" s="199" t="s">
        <v>90</v>
      </c>
      <c r="R235" s="71"/>
      <c r="S235" s="71"/>
      <c r="T235" s="71"/>
      <c r="U235" s="71"/>
      <c r="V235" s="71"/>
      <c r="W235" s="104" t="e">
        <f t="shared" si="40"/>
        <v>#VALUE!</v>
      </c>
      <c r="X235" s="104" t="e">
        <f t="shared" si="41"/>
        <v>#VALUE!</v>
      </c>
    </row>
    <row r="236" spans="1:24" ht="15" customHeight="1" hidden="1">
      <c r="A236" s="43"/>
      <c r="B236" s="199"/>
      <c r="C236" s="199">
        <v>2022.64</v>
      </c>
      <c r="D236" s="199"/>
      <c r="E236" s="199"/>
      <c r="F236" s="199"/>
      <c r="G236" s="199"/>
      <c r="H236" s="199"/>
      <c r="I236" s="126">
        <v>25.35</v>
      </c>
      <c r="J236" s="126">
        <f>I236*1.18</f>
        <v>29.913</v>
      </c>
      <c r="K236" s="226">
        <f>29.913+19.14</f>
        <v>49.053</v>
      </c>
      <c r="L236" s="199"/>
      <c r="M236" s="199"/>
      <c r="N236" s="199"/>
      <c r="O236" s="199"/>
      <c r="P236" s="200"/>
      <c r="Q236" s="199"/>
      <c r="R236" s="71"/>
      <c r="S236" s="71"/>
      <c r="T236" s="71"/>
      <c r="U236" s="71"/>
      <c r="V236" s="71"/>
      <c r="W236" s="104">
        <f t="shared" si="40"/>
        <v>0</v>
      </c>
      <c r="X236" s="104">
        <f t="shared" si="41"/>
        <v>0</v>
      </c>
    </row>
    <row r="237" spans="1:24" ht="15" customHeight="1" hidden="1">
      <c r="A237" s="43"/>
      <c r="B237" s="199"/>
      <c r="C237" s="199" t="s">
        <v>93</v>
      </c>
      <c r="D237" s="199"/>
      <c r="E237" s="199"/>
      <c r="F237" s="199"/>
      <c r="G237" s="199"/>
      <c r="H237" s="199"/>
      <c r="I237" s="118" t="s">
        <v>94</v>
      </c>
      <c r="J237" s="118" t="s">
        <v>83</v>
      </c>
      <c r="K237" s="226"/>
      <c r="L237" s="199"/>
      <c r="M237" s="199"/>
      <c r="N237" s="199"/>
      <c r="O237" s="199"/>
      <c r="P237" s="200"/>
      <c r="Q237" s="199"/>
      <c r="R237" s="71"/>
      <c r="S237" s="71"/>
      <c r="T237" s="71"/>
      <c r="U237" s="71"/>
      <c r="V237" s="71"/>
      <c r="W237" s="104">
        <f t="shared" si="40"/>
        <v>0</v>
      </c>
      <c r="X237" s="104">
        <f t="shared" si="41"/>
        <v>0</v>
      </c>
    </row>
    <row r="238" spans="1:24" ht="15" customHeight="1" hidden="1">
      <c r="A238" s="43"/>
      <c r="B238" s="199"/>
      <c r="C238" s="207">
        <f>C236*1.18</f>
        <v>2386.7152</v>
      </c>
      <c r="D238" s="207"/>
      <c r="E238" s="207"/>
      <c r="F238" s="207"/>
      <c r="G238" s="207"/>
      <c r="H238" s="207"/>
      <c r="I238" s="126">
        <v>16.22</v>
      </c>
      <c r="J238" s="126">
        <f>I238*1.18</f>
        <v>19.139599999999998</v>
      </c>
      <c r="K238" s="226"/>
      <c r="L238" s="199"/>
      <c r="M238" s="199"/>
      <c r="N238" s="199"/>
      <c r="O238" s="199"/>
      <c r="P238" s="200"/>
      <c r="Q238" s="199"/>
      <c r="R238" s="71"/>
      <c r="S238" s="71"/>
      <c r="T238" s="71" t="s">
        <v>95</v>
      </c>
      <c r="U238" s="71"/>
      <c r="V238" s="71"/>
      <c r="W238" s="104">
        <f t="shared" si="40"/>
        <v>0</v>
      </c>
      <c r="X238" s="104">
        <f t="shared" si="41"/>
        <v>0</v>
      </c>
    </row>
    <row r="239" spans="1:24" ht="45" customHeight="1" hidden="1">
      <c r="A239" s="43"/>
      <c r="B239" s="118" t="s">
        <v>96</v>
      </c>
      <c r="C239" s="118" t="s">
        <v>97</v>
      </c>
      <c r="D239" s="118" t="s">
        <v>98</v>
      </c>
      <c r="E239" s="118" t="s">
        <v>99</v>
      </c>
      <c r="F239" s="118" t="s">
        <v>100</v>
      </c>
      <c r="G239" s="118" t="s">
        <v>101</v>
      </c>
      <c r="H239" s="118" t="s">
        <v>90</v>
      </c>
      <c r="I239" s="118" t="s">
        <v>171</v>
      </c>
      <c r="J239" s="118" t="s">
        <v>102</v>
      </c>
      <c r="K239" s="118" t="s">
        <v>90</v>
      </c>
      <c r="L239" s="199"/>
      <c r="M239" s="199"/>
      <c r="N239" s="199"/>
      <c r="O239" s="199"/>
      <c r="P239" s="200"/>
      <c r="Q239" s="199"/>
      <c r="R239" s="71"/>
      <c r="S239" s="71"/>
      <c r="T239" s="71"/>
      <c r="U239" s="71"/>
      <c r="V239" s="71"/>
      <c r="W239" s="104">
        <f t="shared" si="40"/>
        <v>0</v>
      </c>
      <c r="X239" s="104">
        <f t="shared" si="41"/>
        <v>0</v>
      </c>
    </row>
    <row r="240" spans="1:24" ht="15" customHeight="1" hidden="1">
      <c r="A240" s="43"/>
      <c r="B240" s="44" t="s">
        <v>103</v>
      </c>
      <c r="C240" s="44"/>
      <c r="D240" s="44"/>
      <c r="E240" s="67">
        <v>1034.874</v>
      </c>
      <c r="F240" s="67">
        <v>41.664</v>
      </c>
      <c r="G240" s="67">
        <f aca="true" t="shared" si="42" ref="G240:G245">F240+E240</f>
        <v>1076.538</v>
      </c>
      <c r="H240" s="60">
        <f>G240*C238</f>
        <v>2569389.6079776003</v>
      </c>
      <c r="I240" s="120"/>
      <c r="J240" s="120">
        <v>2052.5</v>
      </c>
      <c r="K240" s="120">
        <v>100672.88</v>
      </c>
      <c r="L240" s="120"/>
      <c r="M240" s="120"/>
      <c r="N240" s="120"/>
      <c r="O240" s="120">
        <v>451103</v>
      </c>
      <c r="P240" s="121">
        <v>3.20931</v>
      </c>
      <c r="Q240" s="120">
        <f aca="true" t="shared" si="43" ref="Q240:Q245">P240*O240</f>
        <v>1447729.3689299999</v>
      </c>
      <c r="R240" s="127">
        <v>46552.9</v>
      </c>
      <c r="S240" s="127">
        <v>25.19761712</v>
      </c>
      <c r="T240" s="71"/>
      <c r="U240" s="71"/>
      <c r="V240" s="71"/>
      <c r="W240" s="104">
        <f t="shared" si="40"/>
        <v>4135.11739532268</v>
      </c>
      <c r="X240" s="104">
        <f t="shared" si="41"/>
        <v>2436.8036117573183</v>
      </c>
    </row>
    <row r="241" spans="1:24" ht="15" customHeight="1" hidden="1">
      <c r="A241" s="43"/>
      <c r="B241" s="44" t="s">
        <v>104</v>
      </c>
      <c r="C241" s="44"/>
      <c r="D241" s="44"/>
      <c r="E241" s="67">
        <v>868.657</v>
      </c>
      <c r="F241" s="67">
        <v>39.199</v>
      </c>
      <c r="G241" s="67">
        <f t="shared" si="42"/>
        <v>907.856</v>
      </c>
      <c r="H241" s="60">
        <v>2166793.78</v>
      </c>
      <c r="I241" s="120"/>
      <c r="J241" s="120">
        <v>2056.39</v>
      </c>
      <c r="K241" s="120">
        <v>100863.43</v>
      </c>
      <c r="L241" s="124"/>
      <c r="M241" s="124"/>
      <c r="N241" s="124"/>
      <c r="O241" s="120">
        <v>437405</v>
      </c>
      <c r="P241" s="121">
        <v>3.39007</v>
      </c>
      <c r="Q241" s="120">
        <f t="shared" si="43"/>
        <v>1482833.56835</v>
      </c>
      <c r="R241" s="127">
        <v>46552.9</v>
      </c>
      <c r="S241" s="127">
        <v>25.19761712</v>
      </c>
      <c r="T241" s="71"/>
      <c r="U241" s="71"/>
      <c r="V241" s="71"/>
      <c r="W241" s="104">
        <f t="shared" si="40"/>
        <v>4009.552196064129</v>
      </c>
      <c r="X241" s="104">
        <f t="shared" si="41"/>
        <v>2362.8086796157636</v>
      </c>
    </row>
    <row r="242" spans="1:24" ht="15" customHeight="1" hidden="1">
      <c r="A242" s="43"/>
      <c r="B242" s="44" t="s">
        <v>105</v>
      </c>
      <c r="C242" s="44"/>
      <c r="D242" s="44"/>
      <c r="E242" s="67">
        <v>1127.856</v>
      </c>
      <c r="F242" s="67">
        <v>45.368</v>
      </c>
      <c r="G242" s="67">
        <f t="shared" si="42"/>
        <v>1173.224</v>
      </c>
      <c r="H242" s="60">
        <v>2800151.55</v>
      </c>
      <c r="I242" s="120"/>
      <c r="J242" s="120">
        <v>2465.92</v>
      </c>
      <c r="K242" s="120">
        <v>120950.66</v>
      </c>
      <c r="L242" s="124"/>
      <c r="M242" s="124"/>
      <c r="N242" s="124"/>
      <c r="O242" s="120">
        <v>493948</v>
      </c>
      <c r="P242" s="121">
        <v>3.39864</v>
      </c>
      <c r="Q242" s="120">
        <f t="shared" si="43"/>
        <v>1678751.4307199998</v>
      </c>
      <c r="R242" s="127">
        <v>46552.9</v>
      </c>
      <c r="S242" s="127">
        <v>25.19761712</v>
      </c>
      <c r="T242" s="71"/>
      <c r="U242" s="71"/>
      <c r="V242" s="71"/>
      <c r="W242" s="104">
        <f t="shared" si="40"/>
        <v>4527.863851902664</v>
      </c>
      <c r="X242" s="104">
        <f t="shared" si="41"/>
        <v>2668.2470974928206</v>
      </c>
    </row>
    <row r="243" spans="1:24" ht="15" customHeight="1" hidden="1">
      <c r="A243" s="43"/>
      <c r="B243" s="44" t="s">
        <v>106</v>
      </c>
      <c r="C243" s="44"/>
      <c r="D243" s="44"/>
      <c r="E243" s="67">
        <v>384.743</v>
      </c>
      <c r="F243" s="67">
        <v>57.431</v>
      </c>
      <c r="G243" s="67">
        <f t="shared" si="42"/>
        <v>442.174</v>
      </c>
      <c r="H243" s="60">
        <v>1055343.21</v>
      </c>
      <c r="I243" s="120"/>
      <c r="J243" s="120">
        <v>2973.81</v>
      </c>
      <c r="K243" s="120">
        <v>145861.93</v>
      </c>
      <c r="L243" s="124"/>
      <c r="M243" s="124"/>
      <c r="N243" s="124"/>
      <c r="O243" s="120">
        <v>448135</v>
      </c>
      <c r="P243" s="121">
        <v>3.31733</v>
      </c>
      <c r="Q243" s="120">
        <f t="shared" si="43"/>
        <v>1486611.67955</v>
      </c>
      <c r="R243" s="127">
        <v>46552.9</v>
      </c>
      <c r="S243" s="127">
        <v>25.19761712</v>
      </c>
      <c r="T243" s="71"/>
      <c r="U243" s="71"/>
      <c r="V243" s="71"/>
      <c r="W243" s="104">
        <f t="shared" si="40"/>
        <v>4107.910685481873</v>
      </c>
      <c r="X243" s="104">
        <f t="shared" si="41"/>
        <v>2420.7708362721282</v>
      </c>
    </row>
    <row r="244" spans="1:24" ht="15" customHeight="1" hidden="1">
      <c r="A244" s="43"/>
      <c r="B244" s="44" t="s">
        <v>107</v>
      </c>
      <c r="C244" s="44"/>
      <c r="D244" s="44"/>
      <c r="E244" s="120"/>
      <c r="F244" s="67">
        <v>61.162</v>
      </c>
      <c r="G244" s="67">
        <f t="shared" si="42"/>
        <v>61.162</v>
      </c>
      <c r="H244" s="60">
        <v>145976.11</v>
      </c>
      <c r="I244" s="120"/>
      <c r="J244" s="120">
        <v>4065.43</v>
      </c>
      <c r="K244" s="120">
        <v>199404.33</v>
      </c>
      <c r="L244" s="124"/>
      <c r="M244" s="124"/>
      <c r="N244" s="124"/>
      <c r="O244" s="120">
        <v>387921</v>
      </c>
      <c r="P244" s="121">
        <v>3.40847</v>
      </c>
      <c r="Q244" s="120">
        <f t="shared" si="43"/>
        <v>1322217.09087</v>
      </c>
      <c r="R244" s="127">
        <v>46552.9</v>
      </c>
      <c r="S244" s="127">
        <v>24.62586099</v>
      </c>
      <c r="T244" s="71"/>
      <c r="U244" s="71"/>
      <c r="V244" s="71"/>
      <c r="W244" s="104">
        <f t="shared" si="40"/>
        <v>3555.948142909645</v>
      </c>
      <c r="X244" s="104">
        <f t="shared" si="41"/>
        <v>2095.5021223013605</v>
      </c>
    </row>
    <row r="245" spans="1:24" ht="15" customHeight="1" hidden="1">
      <c r="A245" s="43"/>
      <c r="B245" s="44" t="s">
        <v>108</v>
      </c>
      <c r="C245" s="44"/>
      <c r="D245" s="44"/>
      <c r="E245" s="120"/>
      <c r="F245" s="67">
        <v>52.398</v>
      </c>
      <c r="G245" s="67">
        <f t="shared" si="42"/>
        <v>52.398</v>
      </c>
      <c r="H245" s="60">
        <v>125059.1</v>
      </c>
      <c r="I245" s="120"/>
      <c r="J245" s="120">
        <v>3408.86</v>
      </c>
      <c r="K245" s="120">
        <v>167200.74</v>
      </c>
      <c r="L245" s="124"/>
      <c r="M245" s="124"/>
      <c r="N245" s="124"/>
      <c r="O245" s="120">
        <v>416846</v>
      </c>
      <c r="P245" s="121">
        <v>3.44841</v>
      </c>
      <c r="Q245" s="120">
        <f t="shared" si="43"/>
        <v>1437455.91486</v>
      </c>
      <c r="R245" s="127">
        <v>46552.9</v>
      </c>
      <c r="S245" s="127">
        <v>24.62586099</v>
      </c>
      <c r="T245" s="71"/>
      <c r="U245" s="71"/>
      <c r="V245" s="71"/>
      <c r="W245" s="104">
        <f t="shared" si="40"/>
        <v>3821.0943970017443</v>
      </c>
      <c r="X245" s="104">
        <f t="shared" si="41"/>
        <v>2251.751458861039</v>
      </c>
    </row>
    <row r="246" spans="1:24" ht="15" customHeight="1" hidden="1">
      <c r="A246" s="43"/>
      <c r="B246" s="220" t="s">
        <v>109</v>
      </c>
      <c r="C246" s="220" t="s">
        <v>81</v>
      </c>
      <c r="D246" s="220"/>
      <c r="E246" s="220"/>
      <c r="F246" s="220"/>
      <c r="G246" s="220"/>
      <c r="H246" s="220"/>
      <c r="I246" s="122" t="s">
        <v>82</v>
      </c>
      <c r="J246" s="122" t="s">
        <v>83</v>
      </c>
      <c r="K246" s="122" t="s">
        <v>84</v>
      </c>
      <c r="L246" s="199"/>
      <c r="M246" s="199"/>
      <c r="N246" s="228"/>
      <c r="O246" s="228"/>
      <c r="P246" s="223"/>
      <c r="Q246" s="199"/>
      <c r="R246" s="71"/>
      <c r="S246" s="71"/>
      <c r="T246" s="71"/>
      <c r="U246" s="71"/>
      <c r="V246" s="71"/>
      <c r="W246" s="104">
        <f t="shared" si="40"/>
        <v>0</v>
      </c>
      <c r="X246" s="104">
        <f t="shared" si="41"/>
        <v>0</v>
      </c>
    </row>
    <row r="247" spans="1:24" ht="15" customHeight="1" hidden="1">
      <c r="A247" s="43"/>
      <c r="B247" s="220"/>
      <c r="C247" s="220">
        <v>2103.15</v>
      </c>
      <c r="D247" s="220"/>
      <c r="E247" s="220"/>
      <c r="F247" s="220"/>
      <c r="G247" s="220"/>
      <c r="H247" s="220"/>
      <c r="I247" s="49">
        <v>26.61</v>
      </c>
      <c r="J247" s="49">
        <f>I247*1.18</f>
        <v>31.3998</v>
      </c>
      <c r="K247" s="224">
        <f>J249+J247</f>
        <v>51.61319999999999</v>
      </c>
      <c r="L247" s="199"/>
      <c r="M247" s="199"/>
      <c r="N247" s="228"/>
      <c r="O247" s="228"/>
      <c r="P247" s="223"/>
      <c r="Q247" s="199"/>
      <c r="R247" s="71"/>
      <c r="S247" s="71"/>
      <c r="T247" s="71"/>
      <c r="U247" s="71"/>
      <c r="V247" s="71"/>
      <c r="W247" s="104">
        <f t="shared" si="40"/>
        <v>0</v>
      </c>
      <c r="X247" s="104">
        <f t="shared" si="41"/>
        <v>0</v>
      </c>
    </row>
    <row r="248" spans="1:24" ht="15" customHeight="1" hidden="1">
      <c r="A248" s="43"/>
      <c r="B248" s="220"/>
      <c r="C248" s="220" t="s">
        <v>93</v>
      </c>
      <c r="D248" s="220"/>
      <c r="E248" s="220"/>
      <c r="F248" s="220"/>
      <c r="G248" s="220"/>
      <c r="H248" s="220"/>
      <c r="I248" s="122" t="s">
        <v>110</v>
      </c>
      <c r="J248" s="122" t="s">
        <v>83</v>
      </c>
      <c r="K248" s="224"/>
      <c r="L248" s="199"/>
      <c r="M248" s="199"/>
      <c r="N248" s="228"/>
      <c r="O248" s="228"/>
      <c r="P248" s="223"/>
      <c r="Q248" s="199"/>
      <c r="R248" s="71"/>
      <c r="S248" s="71"/>
      <c r="T248" s="71"/>
      <c r="U248" s="71"/>
      <c r="V248" s="71"/>
      <c r="W248" s="104">
        <f t="shared" si="40"/>
        <v>0</v>
      </c>
      <c r="X248" s="104">
        <f t="shared" si="41"/>
        <v>0</v>
      </c>
    </row>
    <row r="249" spans="1:24" ht="15" customHeight="1" hidden="1">
      <c r="A249" s="43"/>
      <c r="B249" s="220"/>
      <c r="C249" s="225">
        <f>C247*1.18</f>
        <v>2481.717</v>
      </c>
      <c r="D249" s="225"/>
      <c r="E249" s="225"/>
      <c r="F249" s="225"/>
      <c r="G249" s="225"/>
      <c r="H249" s="225"/>
      <c r="I249" s="49">
        <v>17.13</v>
      </c>
      <c r="J249" s="49">
        <f>I249*1.18</f>
        <v>20.213399999999996</v>
      </c>
      <c r="K249" s="224"/>
      <c r="L249" s="199"/>
      <c r="M249" s="199"/>
      <c r="N249" s="228"/>
      <c r="O249" s="228"/>
      <c r="P249" s="223"/>
      <c r="Q249" s="199"/>
      <c r="R249" s="71"/>
      <c r="S249" s="71"/>
      <c r="T249" s="71"/>
      <c r="U249" s="71"/>
      <c r="V249" s="71"/>
      <c r="W249" s="104">
        <f t="shared" si="40"/>
        <v>0</v>
      </c>
      <c r="X249" s="104">
        <f t="shared" si="41"/>
        <v>0</v>
      </c>
    </row>
    <row r="250" spans="1:24" ht="15" customHeight="1" hidden="1">
      <c r="A250" s="43"/>
      <c r="B250" s="45" t="s">
        <v>111</v>
      </c>
      <c r="C250" s="45"/>
      <c r="D250" s="45"/>
      <c r="E250" s="55"/>
      <c r="F250" s="66">
        <v>51.788</v>
      </c>
      <c r="G250" s="66">
        <f aca="true" t="shared" si="44" ref="G250:G255">F250+E250</f>
        <v>51.788</v>
      </c>
      <c r="H250" s="56">
        <v>128523.16</v>
      </c>
      <c r="I250" s="55"/>
      <c r="J250" s="55">
        <v>4016.23</v>
      </c>
      <c r="K250" s="55">
        <v>207291.03</v>
      </c>
      <c r="L250" s="124"/>
      <c r="M250" s="124"/>
      <c r="N250" s="58"/>
      <c r="O250" s="60">
        <v>443323</v>
      </c>
      <c r="P250" s="121">
        <v>4.06379</v>
      </c>
      <c r="Q250" s="120">
        <f>P250*O250</f>
        <v>1801571.57417</v>
      </c>
      <c r="R250" s="127">
        <v>46552.9</v>
      </c>
      <c r="S250" s="127">
        <v>24.62586099</v>
      </c>
      <c r="T250" s="71"/>
      <c r="U250" s="71"/>
      <c r="V250" s="71"/>
      <c r="W250" s="104">
        <f t="shared" si="40"/>
        <v>4063.800615483906</v>
      </c>
      <c r="X250" s="104">
        <f t="shared" si="41"/>
        <v>2394.7769967725544</v>
      </c>
    </row>
    <row r="251" spans="1:24" ht="15" customHeight="1" hidden="1">
      <c r="A251" s="43"/>
      <c r="B251" s="45" t="s">
        <v>112</v>
      </c>
      <c r="C251" s="45"/>
      <c r="D251" s="45"/>
      <c r="E251" s="56"/>
      <c r="F251" s="66">
        <v>48.249</v>
      </c>
      <c r="G251" s="66">
        <f t="shared" si="44"/>
        <v>48.249</v>
      </c>
      <c r="H251" s="56">
        <v>119740.36</v>
      </c>
      <c r="I251" s="55"/>
      <c r="J251" s="55">
        <v>3689.22</v>
      </c>
      <c r="K251" s="55">
        <v>190413.34</v>
      </c>
      <c r="L251" s="124"/>
      <c r="M251" s="124"/>
      <c r="N251" s="58"/>
      <c r="O251" s="60">
        <v>414849</v>
      </c>
      <c r="P251" s="121">
        <v>4.14442</v>
      </c>
      <c r="Q251" s="120">
        <f>P251*O251</f>
        <v>1719308.49258</v>
      </c>
      <c r="R251" s="127">
        <v>46552.9</v>
      </c>
      <c r="S251" s="127">
        <v>24.62586099</v>
      </c>
      <c r="T251" s="71"/>
      <c r="U251" s="71"/>
      <c r="V251" s="71"/>
      <c r="W251" s="104">
        <f t="shared" si="40"/>
        <v>3802.7885346189637</v>
      </c>
      <c r="X251" s="104">
        <f t="shared" si="41"/>
        <v>2240.963907431145</v>
      </c>
    </row>
    <row r="252" spans="1:24" ht="15" customHeight="1" hidden="1">
      <c r="A252" s="43"/>
      <c r="B252" s="44" t="s">
        <v>113</v>
      </c>
      <c r="C252" s="44"/>
      <c r="D252" s="44"/>
      <c r="E252" s="60"/>
      <c r="F252" s="67">
        <v>55.01</v>
      </c>
      <c r="G252" s="67">
        <f t="shared" si="44"/>
        <v>55.01</v>
      </c>
      <c r="H252" s="60">
        <v>136519</v>
      </c>
      <c r="I252" s="120"/>
      <c r="J252" s="89">
        <v>2285.3</v>
      </c>
      <c r="K252" s="89">
        <v>117951.84</v>
      </c>
      <c r="L252" s="124"/>
      <c r="M252" s="124"/>
      <c r="N252" s="58"/>
      <c r="O252" s="60">
        <v>344387</v>
      </c>
      <c r="P252" s="121">
        <v>3.75833</v>
      </c>
      <c r="Q252" s="120">
        <f>P252*O252</f>
        <v>1294319.99371</v>
      </c>
      <c r="R252" s="127">
        <v>46552.9</v>
      </c>
      <c r="S252" s="127">
        <v>24.62586099</v>
      </c>
      <c r="T252" s="71"/>
      <c r="U252" s="71"/>
      <c r="V252" s="71"/>
      <c r="W252" s="104">
        <f t="shared" si="40"/>
        <v>3156.8858429737597</v>
      </c>
      <c r="X252" s="104">
        <f t="shared" si="41"/>
        <v>1860.3367422567962</v>
      </c>
    </row>
    <row r="253" spans="1:24" ht="15" customHeight="1" hidden="1">
      <c r="A253" s="43"/>
      <c r="B253" s="44" t="s">
        <v>114</v>
      </c>
      <c r="C253" s="44"/>
      <c r="D253" s="44"/>
      <c r="E253" s="61">
        <v>607.515</v>
      </c>
      <c r="F253" s="61">
        <v>46.423</v>
      </c>
      <c r="G253" s="67">
        <f t="shared" si="44"/>
        <v>653.938</v>
      </c>
      <c r="H253" s="60">
        <v>1622889.86</v>
      </c>
      <c r="I253" s="60"/>
      <c r="J253" s="60">
        <v>3157.84</v>
      </c>
      <c r="K253" s="60">
        <v>162986.87</v>
      </c>
      <c r="L253" s="124"/>
      <c r="M253" s="124"/>
      <c r="N253" s="58"/>
      <c r="O253" s="60">
        <v>346801</v>
      </c>
      <c r="P253" s="121">
        <v>3.19572</v>
      </c>
      <c r="Q253" s="120">
        <f>P253*O253</f>
        <v>1108278.89172</v>
      </c>
      <c r="R253" s="127">
        <v>46552.9</v>
      </c>
      <c r="S253" s="127">
        <v>24.62586099</v>
      </c>
      <c r="T253" s="71"/>
      <c r="U253" s="71"/>
      <c r="V253" s="71"/>
      <c r="W253" s="104">
        <f t="shared" si="40"/>
        <v>3179.0142114224486</v>
      </c>
      <c r="X253" s="104">
        <f t="shared" si="41"/>
        <v>1873.3768770348452</v>
      </c>
    </row>
    <row r="254" spans="1:24" ht="15" customHeight="1" hidden="1">
      <c r="A254" s="43"/>
      <c r="B254" s="44" t="s">
        <v>115</v>
      </c>
      <c r="C254" s="44"/>
      <c r="D254" s="44"/>
      <c r="E254" s="61">
        <v>693.695</v>
      </c>
      <c r="F254" s="61">
        <v>48.752</v>
      </c>
      <c r="G254" s="67">
        <f t="shared" si="44"/>
        <v>742.447</v>
      </c>
      <c r="H254" s="120">
        <v>1842543.97</v>
      </c>
      <c r="I254" s="120"/>
      <c r="J254" s="120">
        <v>2792.52</v>
      </c>
      <c r="K254" s="120">
        <v>144131.48</v>
      </c>
      <c r="L254" s="124"/>
      <c r="M254" s="124"/>
      <c r="N254" s="124"/>
      <c r="O254" s="124">
        <v>333236</v>
      </c>
      <c r="P254" s="78"/>
      <c r="Q254" s="124"/>
      <c r="R254" s="71"/>
      <c r="S254" s="71"/>
      <c r="T254" s="71"/>
      <c r="U254" s="71"/>
      <c r="V254" s="71"/>
      <c r="W254" s="104">
        <f t="shared" si="40"/>
        <v>3054.668180765255</v>
      </c>
      <c r="X254" s="104">
        <f t="shared" si="41"/>
        <v>1800.1003947381457</v>
      </c>
    </row>
    <row r="255" spans="1:24" ht="15" customHeight="1" hidden="1">
      <c r="A255" s="43"/>
      <c r="B255" s="44" t="s">
        <v>116</v>
      </c>
      <c r="C255" s="44"/>
      <c r="D255" s="44"/>
      <c r="E255" s="61">
        <v>848.776</v>
      </c>
      <c r="F255" s="61">
        <v>62.318</v>
      </c>
      <c r="G255" s="67">
        <f t="shared" si="44"/>
        <v>911.0939999999999</v>
      </c>
      <c r="H255" s="120">
        <v>2261076.14</v>
      </c>
      <c r="I255" s="120"/>
      <c r="J255" s="120">
        <v>2939.12</v>
      </c>
      <c r="K255" s="120">
        <v>151698.04</v>
      </c>
      <c r="L255" s="124"/>
      <c r="M255" s="124"/>
      <c r="N255" s="124"/>
      <c r="O255" s="124">
        <v>427174</v>
      </c>
      <c r="P255" s="78"/>
      <c r="Q255" s="124"/>
      <c r="R255" s="71"/>
      <c r="S255" s="71"/>
      <c r="T255" s="71"/>
      <c r="U255" s="71"/>
      <c r="V255" s="71"/>
      <c r="W255" s="104">
        <f t="shared" si="40"/>
        <v>3915.7678805717774</v>
      </c>
      <c r="X255" s="104">
        <f t="shared" si="41"/>
        <v>2307.5420603472394</v>
      </c>
    </row>
    <row r="256" spans="1:24" ht="15" customHeight="1">
      <c r="A256" s="43"/>
      <c r="B256" s="118" t="s">
        <v>117</v>
      </c>
      <c r="C256" s="124">
        <f aca="true" t="shared" si="45" ref="C256:K256">C255+C254+C253+C252+C251+C250+C245+C244+C243+C242+C241+C240</f>
        <v>0</v>
      </c>
      <c r="D256" s="124">
        <f t="shared" si="45"/>
        <v>0</v>
      </c>
      <c r="E256" s="59">
        <f t="shared" si="45"/>
        <v>5566.116</v>
      </c>
      <c r="F256" s="59">
        <f t="shared" si="45"/>
        <v>609.762</v>
      </c>
      <c r="G256" s="59">
        <f t="shared" si="45"/>
        <v>6175.877999999999</v>
      </c>
      <c r="H256" s="124">
        <f t="shared" si="45"/>
        <v>14974005.847977601</v>
      </c>
      <c r="I256" s="124">
        <f t="shared" si="45"/>
        <v>0</v>
      </c>
      <c r="J256" s="124">
        <f t="shared" si="45"/>
        <v>35903.14</v>
      </c>
      <c r="K256" s="124">
        <f t="shared" si="45"/>
        <v>1809426.5699999998</v>
      </c>
      <c r="L256" s="58"/>
      <c r="M256" s="58"/>
      <c r="N256" s="124"/>
      <c r="O256" s="79">
        <v>359480</v>
      </c>
      <c r="P256" s="78"/>
      <c r="Q256" s="58"/>
      <c r="R256" s="71"/>
      <c r="S256" s="71"/>
      <c r="T256" s="71"/>
      <c r="U256" s="71"/>
      <c r="V256" s="71">
        <v>3000</v>
      </c>
      <c r="W256" s="104">
        <f t="shared" si="40"/>
        <v>3295.2385625247384</v>
      </c>
      <c r="X256" s="104">
        <f t="shared" si="41"/>
        <v>1941.8672949515317</v>
      </c>
    </row>
    <row r="257" spans="1:24" ht="15" customHeight="1">
      <c r="A257" s="42">
        <v>12</v>
      </c>
      <c r="B257" s="227" t="s">
        <v>144</v>
      </c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71"/>
      <c r="S257" s="71"/>
      <c r="T257" s="71" t="s">
        <v>79</v>
      </c>
      <c r="U257" s="71"/>
      <c r="V257" s="71"/>
      <c r="W257" s="104"/>
      <c r="X257" s="104"/>
    </row>
    <row r="258" spans="1:24" ht="15" customHeight="1" hidden="1">
      <c r="A258" s="43"/>
      <c r="B258" s="199" t="s">
        <v>80</v>
      </c>
      <c r="C258" s="199" t="s">
        <v>81</v>
      </c>
      <c r="D258" s="199"/>
      <c r="E258" s="199"/>
      <c r="F258" s="199"/>
      <c r="G258" s="199"/>
      <c r="H258" s="199"/>
      <c r="I258" s="118" t="s">
        <v>82</v>
      </c>
      <c r="J258" s="118" t="s">
        <v>83</v>
      </c>
      <c r="K258" s="118" t="s">
        <v>84</v>
      </c>
      <c r="L258" s="199" t="s">
        <v>85</v>
      </c>
      <c r="M258" s="199" t="s">
        <v>86</v>
      </c>
      <c r="N258" s="199" t="s">
        <v>87</v>
      </c>
      <c r="O258" s="199" t="s">
        <v>88</v>
      </c>
      <c r="P258" s="200" t="s">
        <v>89</v>
      </c>
      <c r="Q258" s="199" t="s">
        <v>90</v>
      </c>
      <c r="R258" s="71"/>
      <c r="S258" s="71"/>
      <c r="T258" s="71"/>
      <c r="U258" s="71"/>
      <c r="V258" s="71"/>
      <c r="W258" s="104" t="e">
        <f t="shared" si="40"/>
        <v>#VALUE!</v>
      </c>
      <c r="X258" s="104" t="e">
        <f t="shared" si="41"/>
        <v>#VALUE!</v>
      </c>
    </row>
    <row r="259" spans="1:24" ht="15" customHeight="1" hidden="1">
      <c r="A259" s="43"/>
      <c r="B259" s="199"/>
      <c r="C259" s="199">
        <v>2022.64</v>
      </c>
      <c r="D259" s="199"/>
      <c r="E259" s="199"/>
      <c r="F259" s="199"/>
      <c r="G259" s="199"/>
      <c r="H259" s="199"/>
      <c r="I259" s="126">
        <v>25.35</v>
      </c>
      <c r="J259" s="126">
        <f>I259*1.18</f>
        <v>29.913</v>
      </c>
      <c r="K259" s="226">
        <f>29.913+19.14</f>
        <v>49.053</v>
      </c>
      <c r="L259" s="199"/>
      <c r="M259" s="199"/>
      <c r="N259" s="199"/>
      <c r="O259" s="199"/>
      <c r="P259" s="200"/>
      <c r="Q259" s="199"/>
      <c r="R259" s="71"/>
      <c r="S259" s="71"/>
      <c r="T259" s="71"/>
      <c r="U259" s="71"/>
      <c r="V259" s="71"/>
      <c r="W259" s="104">
        <f t="shared" si="40"/>
        <v>0</v>
      </c>
      <c r="X259" s="104">
        <f t="shared" si="41"/>
        <v>0</v>
      </c>
    </row>
    <row r="260" spans="1:24" ht="15" customHeight="1" hidden="1">
      <c r="A260" s="43"/>
      <c r="B260" s="199"/>
      <c r="C260" s="199" t="s">
        <v>93</v>
      </c>
      <c r="D260" s="199"/>
      <c r="E260" s="199"/>
      <c r="F260" s="199"/>
      <c r="G260" s="199"/>
      <c r="H260" s="199"/>
      <c r="I260" s="118" t="s">
        <v>94</v>
      </c>
      <c r="J260" s="118" t="s">
        <v>83</v>
      </c>
      <c r="K260" s="226"/>
      <c r="L260" s="199"/>
      <c r="M260" s="199"/>
      <c r="N260" s="199"/>
      <c r="O260" s="199"/>
      <c r="P260" s="200"/>
      <c r="Q260" s="199"/>
      <c r="R260" s="71"/>
      <c r="S260" s="71"/>
      <c r="T260" s="71"/>
      <c r="U260" s="71"/>
      <c r="V260" s="71"/>
      <c r="W260" s="104">
        <f t="shared" si="40"/>
        <v>0</v>
      </c>
      <c r="X260" s="104">
        <f t="shared" si="41"/>
        <v>0</v>
      </c>
    </row>
    <row r="261" spans="1:24" ht="15" customHeight="1" hidden="1">
      <c r="A261" s="43"/>
      <c r="B261" s="199"/>
      <c r="C261" s="207">
        <f>C259*1.18</f>
        <v>2386.7152</v>
      </c>
      <c r="D261" s="207"/>
      <c r="E261" s="207"/>
      <c r="F261" s="207"/>
      <c r="G261" s="207"/>
      <c r="H261" s="207"/>
      <c r="I261" s="126">
        <v>16.22</v>
      </c>
      <c r="J261" s="126">
        <f>I261*1.18</f>
        <v>19.139599999999998</v>
      </c>
      <c r="K261" s="226"/>
      <c r="L261" s="199"/>
      <c r="M261" s="199"/>
      <c r="N261" s="199"/>
      <c r="O261" s="199"/>
      <c r="P261" s="200"/>
      <c r="Q261" s="199"/>
      <c r="R261" s="71"/>
      <c r="S261" s="71"/>
      <c r="T261" s="71" t="s">
        <v>95</v>
      </c>
      <c r="U261" s="71"/>
      <c r="V261" s="71"/>
      <c r="W261" s="104">
        <f t="shared" si="40"/>
        <v>0</v>
      </c>
      <c r="X261" s="104">
        <f t="shared" si="41"/>
        <v>0</v>
      </c>
    </row>
    <row r="262" spans="1:24" ht="15" customHeight="1" hidden="1">
      <c r="A262" s="43"/>
      <c r="B262" s="118" t="s">
        <v>96</v>
      </c>
      <c r="C262" s="118" t="s">
        <v>97</v>
      </c>
      <c r="D262" s="118" t="s">
        <v>98</v>
      </c>
      <c r="E262" s="118" t="s">
        <v>99</v>
      </c>
      <c r="F262" s="118" t="s">
        <v>100</v>
      </c>
      <c r="G262" s="118" t="s">
        <v>101</v>
      </c>
      <c r="H262" s="118" t="s">
        <v>90</v>
      </c>
      <c r="I262" s="118" t="s">
        <v>171</v>
      </c>
      <c r="J262" s="118" t="s">
        <v>102</v>
      </c>
      <c r="K262" s="118" t="s">
        <v>90</v>
      </c>
      <c r="L262" s="199"/>
      <c r="M262" s="199"/>
      <c r="N262" s="199"/>
      <c r="O262" s="199"/>
      <c r="P262" s="200"/>
      <c r="Q262" s="199"/>
      <c r="R262" s="71"/>
      <c r="S262" s="71"/>
      <c r="T262" s="71"/>
      <c r="U262" s="71"/>
      <c r="V262" s="71"/>
      <c r="W262" s="104">
        <f t="shared" si="40"/>
        <v>0</v>
      </c>
      <c r="X262" s="104">
        <f t="shared" si="41"/>
        <v>0</v>
      </c>
    </row>
    <row r="263" spans="1:24" ht="15" customHeight="1" hidden="1">
      <c r="A263" s="43"/>
      <c r="B263" s="44" t="s">
        <v>103</v>
      </c>
      <c r="C263" s="44"/>
      <c r="D263" s="44"/>
      <c r="E263" s="62">
        <v>379.309</v>
      </c>
      <c r="F263" s="62">
        <v>16.579</v>
      </c>
      <c r="G263" s="62">
        <f aca="true" t="shared" si="46" ref="G263:G268">F263+E263</f>
        <v>395.88800000000003</v>
      </c>
      <c r="H263" s="60">
        <f>G263*C261</f>
        <v>944871.9070976002</v>
      </c>
      <c r="I263" s="120"/>
      <c r="J263" s="120">
        <v>752.3</v>
      </c>
      <c r="K263" s="120">
        <v>36899.34</v>
      </c>
      <c r="L263" s="120"/>
      <c r="M263" s="120"/>
      <c r="N263" s="120"/>
      <c r="O263" s="120">
        <v>166432</v>
      </c>
      <c r="P263" s="125">
        <v>3.77026</v>
      </c>
      <c r="Q263" s="120">
        <f aca="true" t="shared" si="47" ref="Q263:Q268">P263*O263</f>
        <v>627491.91232</v>
      </c>
      <c r="R263" s="127">
        <v>17175.4</v>
      </c>
      <c r="S263" s="127">
        <v>9.29650254</v>
      </c>
      <c r="T263" s="71"/>
      <c r="U263" s="71"/>
      <c r="V263" s="71"/>
      <c r="W263" s="104">
        <f t="shared" si="40"/>
        <v>1525.6290876769704</v>
      </c>
      <c r="X263" s="104">
        <f t="shared" si="41"/>
        <v>899.0454479619821</v>
      </c>
    </row>
    <row r="264" spans="1:24" ht="15" customHeight="1" hidden="1">
      <c r="A264" s="43"/>
      <c r="B264" s="44" t="s">
        <v>104</v>
      </c>
      <c r="C264" s="44"/>
      <c r="D264" s="44"/>
      <c r="E264" s="62">
        <v>318.386</v>
      </c>
      <c r="F264" s="62">
        <v>15.598</v>
      </c>
      <c r="G264" s="62">
        <f t="shared" si="46"/>
        <v>333.98400000000004</v>
      </c>
      <c r="H264" s="60">
        <v>797124.71</v>
      </c>
      <c r="I264" s="120"/>
      <c r="J264" s="120">
        <v>753.72</v>
      </c>
      <c r="K264" s="120">
        <v>36969.18</v>
      </c>
      <c r="L264" s="124"/>
      <c r="M264" s="124"/>
      <c r="N264" s="124"/>
      <c r="O264" s="120">
        <v>161378</v>
      </c>
      <c r="P264" s="125">
        <v>3.94348</v>
      </c>
      <c r="Q264" s="120">
        <f t="shared" si="47"/>
        <v>636390.91544</v>
      </c>
      <c r="R264" s="127">
        <v>17175.4</v>
      </c>
      <c r="S264" s="127">
        <v>9.29650254</v>
      </c>
      <c r="T264" s="71"/>
      <c r="U264" s="71"/>
      <c r="V264" s="71"/>
      <c r="W264" s="104">
        <f t="shared" si="40"/>
        <v>1479.3006808254067</v>
      </c>
      <c r="X264" s="104">
        <f t="shared" si="41"/>
        <v>871.7443538574838</v>
      </c>
    </row>
    <row r="265" spans="1:24" ht="15" customHeight="1" hidden="1">
      <c r="A265" s="43"/>
      <c r="B265" s="44" t="s">
        <v>105</v>
      </c>
      <c r="C265" s="44"/>
      <c r="D265" s="44"/>
      <c r="E265" s="62">
        <v>413.39</v>
      </c>
      <c r="F265" s="62">
        <v>18.053</v>
      </c>
      <c r="G265" s="62">
        <f t="shared" si="46"/>
        <v>431.443</v>
      </c>
      <c r="H265" s="60">
        <v>1029731.32</v>
      </c>
      <c r="I265" s="120"/>
      <c r="J265" s="120">
        <v>903.83</v>
      </c>
      <c r="K265" s="120">
        <v>44331.69</v>
      </c>
      <c r="L265" s="124"/>
      <c r="M265" s="124"/>
      <c r="N265" s="124"/>
      <c r="O265" s="120">
        <v>181757</v>
      </c>
      <c r="P265" s="125">
        <v>3.92864</v>
      </c>
      <c r="Q265" s="120">
        <f t="shared" si="47"/>
        <v>714057.82048</v>
      </c>
      <c r="R265" s="127">
        <v>171130</v>
      </c>
      <c r="S265" s="127">
        <v>9.061540716</v>
      </c>
      <c r="T265" s="71"/>
      <c r="U265" s="71"/>
      <c r="V265" s="71"/>
      <c r="W265" s="104">
        <f t="shared" si="40"/>
        <v>1666.108477269414</v>
      </c>
      <c r="X265" s="104">
        <f t="shared" si="41"/>
        <v>981.8292364763146</v>
      </c>
    </row>
    <row r="266" spans="1:24" ht="15" customHeight="1" hidden="1">
      <c r="A266" s="43"/>
      <c r="B266" s="44" t="s">
        <v>106</v>
      </c>
      <c r="C266" s="44"/>
      <c r="D266" s="44"/>
      <c r="E266" s="62">
        <v>141.019</v>
      </c>
      <c r="F266" s="62">
        <v>22.853</v>
      </c>
      <c r="G266" s="62">
        <f t="shared" si="46"/>
        <v>163.872</v>
      </c>
      <c r="H266" s="60">
        <v>391118.47</v>
      </c>
      <c r="I266" s="120"/>
      <c r="J266" s="120">
        <v>1089.98</v>
      </c>
      <c r="K266" s="120">
        <v>53462.35</v>
      </c>
      <c r="L266" s="124"/>
      <c r="M266" s="124"/>
      <c r="N266" s="124"/>
      <c r="O266" s="120">
        <v>164900</v>
      </c>
      <c r="P266" s="125">
        <v>3.84733</v>
      </c>
      <c r="Q266" s="120">
        <f t="shared" si="47"/>
        <v>634424.717</v>
      </c>
      <c r="R266" s="127">
        <v>171130</v>
      </c>
      <c r="S266" s="127">
        <v>9.061540716</v>
      </c>
      <c r="T266" s="71"/>
      <c r="U266" s="71"/>
      <c r="V266" s="71"/>
      <c r="W266" s="104">
        <f t="shared" si="40"/>
        <v>1511.5857320583325</v>
      </c>
      <c r="X266" s="104">
        <f t="shared" si="41"/>
        <v>890.7697700498152</v>
      </c>
    </row>
    <row r="267" spans="1:24" ht="15" customHeight="1" hidden="1">
      <c r="A267" s="43"/>
      <c r="B267" s="44" t="s">
        <v>107</v>
      </c>
      <c r="C267" s="44"/>
      <c r="D267" s="44"/>
      <c r="E267" s="60"/>
      <c r="F267" s="62">
        <v>24.338</v>
      </c>
      <c r="G267" s="62">
        <f t="shared" si="46"/>
        <v>24.338</v>
      </c>
      <c r="H267" s="60">
        <v>58087.81</v>
      </c>
      <c r="I267" s="120"/>
      <c r="J267" s="120">
        <v>1490.09</v>
      </c>
      <c r="K267" s="120">
        <v>73087.09</v>
      </c>
      <c r="L267" s="124"/>
      <c r="M267" s="124"/>
      <c r="N267" s="124"/>
      <c r="O267" s="120">
        <v>142743</v>
      </c>
      <c r="P267" s="125">
        <v>3.93847</v>
      </c>
      <c r="Q267" s="120">
        <f t="shared" si="47"/>
        <v>562189.02321</v>
      </c>
      <c r="R267" s="127">
        <v>171130</v>
      </c>
      <c r="S267" s="127">
        <v>9.061540716</v>
      </c>
      <c r="T267" s="71"/>
      <c r="U267" s="71"/>
      <c r="V267" s="71"/>
      <c r="W267" s="104">
        <f t="shared" si="40"/>
        <v>1308.4795764172381</v>
      </c>
      <c r="X267" s="104">
        <f t="shared" si="41"/>
        <v>771.0803473997621</v>
      </c>
    </row>
    <row r="268" spans="1:24" ht="15" customHeight="1" hidden="1">
      <c r="A268" s="43"/>
      <c r="B268" s="44" t="s">
        <v>108</v>
      </c>
      <c r="C268" s="44"/>
      <c r="D268" s="44"/>
      <c r="E268" s="60"/>
      <c r="F268" s="62">
        <v>20.85</v>
      </c>
      <c r="G268" s="62">
        <f t="shared" si="46"/>
        <v>20.85</v>
      </c>
      <c r="H268" s="60">
        <v>49763.01</v>
      </c>
      <c r="I268" s="120"/>
      <c r="J268" s="120">
        <v>1249.44</v>
      </c>
      <c r="K268" s="120">
        <v>61283.61</v>
      </c>
      <c r="L268" s="124"/>
      <c r="M268" s="124"/>
      <c r="N268" s="124"/>
      <c r="O268" s="120">
        <v>153386</v>
      </c>
      <c r="P268" s="125">
        <v>3.97841</v>
      </c>
      <c r="Q268" s="120">
        <f t="shared" si="47"/>
        <v>610232.39626</v>
      </c>
      <c r="R268" s="127">
        <v>171130</v>
      </c>
      <c r="S268" s="127">
        <v>9.061540716</v>
      </c>
      <c r="T268" s="71"/>
      <c r="U268" s="71"/>
      <c r="V268" s="71"/>
      <c r="W268" s="104">
        <f t="shared" si="40"/>
        <v>1406.0405645694323</v>
      </c>
      <c r="X268" s="104">
        <f t="shared" si="41"/>
        <v>828.5725406237777</v>
      </c>
    </row>
    <row r="269" spans="1:24" ht="15" customHeight="1" hidden="1">
      <c r="A269" s="43"/>
      <c r="B269" s="220" t="s">
        <v>109</v>
      </c>
      <c r="C269" s="220" t="s">
        <v>81</v>
      </c>
      <c r="D269" s="220"/>
      <c r="E269" s="220"/>
      <c r="F269" s="220"/>
      <c r="G269" s="220"/>
      <c r="H269" s="220"/>
      <c r="I269" s="122" t="s">
        <v>82</v>
      </c>
      <c r="J269" s="122" t="s">
        <v>83</v>
      </c>
      <c r="K269" s="122" t="s">
        <v>84</v>
      </c>
      <c r="L269" s="199"/>
      <c r="M269" s="199"/>
      <c r="N269" s="228"/>
      <c r="O269" s="228"/>
      <c r="P269" s="229"/>
      <c r="Q269" s="199"/>
      <c r="R269" s="71"/>
      <c r="S269" s="71"/>
      <c r="T269" s="71"/>
      <c r="U269" s="71"/>
      <c r="V269" s="71"/>
      <c r="W269" s="104">
        <f t="shared" si="40"/>
        <v>0</v>
      </c>
      <c r="X269" s="104">
        <f t="shared" si="41"/>
        <v>0</v>
      </c>
    </row>
    <row r="270" spans="1:24" ht="15" customHeight="1" hidden="1">
      <c r="A270" s="43"/>
      <c r="B270" s="220"/>
      <c r="C270" s="220">
        <v>2103.15</v>
      </c>
      <c r="D270" s="220"/>
      <c r="E270" s="220"/>
      <c r="F270" s="220"/>
      <c r="G270" s="220"/>
      <c r="H270" s="220"/>
      <c r="I270" s="49">
        <v>26.61</v>
      </c>
      <c r="J270" s="49">
        <f>I270*1.18</f>
        <v>31.3998</v>
      </c>
      <c r="K270" s="224">
        <f>J272+J270</f>
        <v>51.61319999999999</v>
      </c>
      <c r="L270" s="199"/>
      <c r="M270" s="199"/>
      <c r="N270" s="228"/>
      <c r="O270" s="228"/>
      <c r="P270" s="229"/>
      <c r="Q270" s="199"/>
      <c r="R270" s="71"/>
      <c r="S270" s="71"/>
      <c r="T270" s="71"/>
      <c r="U270" s="71"/>
      <c r="V270" s="71"/>
      <c r="W270" s="104">
        <f t="shared" si="40"/>
        <v>0</v>
      </c>
      <c r="X270" s="104">
        <f t="shared" si="41"/>
        <v>0</v>
      </c>
    </row>
    <row r="271" spans="1:24" ht="15" customHeight="1" hidden="1">
      <c r="A271" s="43"/>
      <c r="B271" s="220"/>
      <c r="C271" s="220" t="s">
        <v>93</v>
      </c>
      <c r="D271" s="220"/>
      <c r="E271" s="220"/>
      <c r="F271" s="220"/>
      <c r="G271" s="220"/>
      <c r="H271" s="220"/>
      <c r="I271" s="122" t="s">
        <v>110</v>
      </c>
      <c r="J271" s="122" t="s">
        <v>83</v>
      </c>
      <c r="K271" s="224"/>
      <c r="L271" s="199"/>
      <c r="M271" s="199"/>
      <c r="N271" s="228"/>
      <c r="O271" s="228"/>
      <c r="P271" s="229"/>
      <c r="Q271" s="199"/>
      <c r="R271" s="71"/>
      <c r="S271" s="71"/>
      <c r="T271" s="71"/>
      <c r="U271" s="71"/>
      <c r="V271" s="71"/>
      <c r="W271" s="104">
        <f t="shared" si="40"/>
        <v>0</v>
      </c>
      <c r="X271" s="104">
        <f t="shared" si="41"/>
        <v>0</v>
      </c>
    </row>
    <row r="272" spans="1:24" ht="15" customHeight="1" hidden="1">
      <c r="A272" s="43"/>
      <c r="B272" s="220"/>
      <c r="C272" s="225">
        <f>C270*1.18</f>
        <v>2481.717</v>
      </c>
      <c r="D272" s="225"/>
      <c r="E272" s="225"/>
      <c r="F272" s="225"/>
      <c r="G272" s="225"/>
      <c r="H272" s="225"/>
      <c r="I272" s="49">
        <v>17.13</v>
      </c>
      <c r="J272" s="49">
        <f>I272*1.18</f>
        <v>20.213399999999996</v>
      </c>
      <c r="K272" s="224"/>
      <c r="L272" s="199"/>
      <c r="M272" s="199"/>
      <c r="N272" s="228"/>
      <c r="O272" s="228"/>
      <c r="P272" s="229"/>
      <c r="Q272" s="199"/>
      <c r="R272" s="71"/>
      <c r="S272" s="71"/>
      <c r="T272" s="71"/>
      <c r="U272" s="71"/>
      <c r="V272" s="71"/>
      <c r="W272" s="104">
        <f t="shared" si="40"/>
        <v>0</v>
      </c>
      <c r="X272" s="104">
        <f t="shared" si="41"/>
        <v>0</v>
      </c>
    </row>
    <row r="273" spans="1:24" ht="15" customHeight="1" hidden="1">
      <c r="A273" s="43"/>
      <c r="B273" s="45" t="s">
        <v>111</v>
      </c>
      <c r="C273" s="45"/>
      <c r="D273" s="45"/>
      <c r="E273" s="56"/>
      <c r="F273" s="86">
        <v>20.607</v>
      </c>
      <c r="G273" s="86">
        <f aca="true" t="shared" si="48" ref="G273:G278">F273+E273</f>
        <v>20.607</v>
      </c>
      <c r="H273" s="56">
        <v>51140.74</v>
      </c>
      <c r="I273" s="55"/>
      <c r="J273" s="55">
        <v>1472.06</v>
      </c>
      <c r="K273" s="55">
        <v>75977.78</v>
      </c>
      <c r="L273" s="124"/>
      <c r="M273" s="124"/>
      <c r="N273" s="124"/>
      <c r="O273" s="120">
        <v>163129</v>
      </c>
      <c r="P273" s="125">
        <v>4.59379</v>
      </c>
      <c r="Q273" s="120">
        <f>P273*O273</f>
        <v>749380.3689100001</v>
      </c>
      <c r="R273" s="127">
        <v>171130</v>
      </c>
      <c r="S273" s="127">
        <v>9.061540716</v>
      </c>
      <c r="T273" s="71"/>
      <c r="U273" s="71"/>
      <c r="V273" s="71"/>
      <c r="W273" s="104">
        <f t="shared" si="40"/>
        <v>1495.3515396297375</v>
      </c>
      <c r="X273" s="104">
        <f t="shared" si="41"/>
        <v>881.2030431683221</v>
      </c>
    </row>
    <row r="274" spans="1:24" ht="15" customHeight="1" hidden="1">
      <c r="A274" s="43"/>
      <c r="B274" s="45" t="s">
        <v>112</v>
      </c>
      <c r="C274" s="45"/>
      <c r="D274" s="45"/>
      <c r="E274" s="56"/>
      <c r="F274" s="86">
        <v>19.199</v>
      </c>
      <c r="G274" s="86">
        <f t="shared" si="48"/>
        <v>19.199</v>
      </c>
      <c r="H274" s="56">
        <v>47646.49</v>
      </c>
      <c r="I274" s="55"/>
      <c r="J274" s="55">
        <v>1352.2</v>
      </c>
      <c r="K274" s="55">
        <v>69791.65</v>
      </c>
      <c r="L274" s="124"/>
      <c r="M274" s="124"/>
      <c r="N274" s="124"/>
      <c r="O274" s="120">
        <v>152651</v>
      </c>
      <c r="P274" s="125">
        <v>4.67442</v>
      </c>
      <c r="Q274" s="120">
        <f>P274*O274</f>
        <v>713554.8874199999</v>
      </c>
      <c r="R274" s="127">
        <v>171130</v>
      </c>
      <c r="S274" s="127">
        <v>9.061540716</v>
      </c>
      <c r="T274" s="71"/>
      <c r="U274" s="71"/>
      <c r="V274" s="71"/>
      <c r="W274" s="104">
        <f t="shared" si="40"/>
        <v>1399.303053877723</v>
      </c>
      <c r="X274" s="104">
        <f t="shared" si="41"/>
        <v>824.6021599022095</v>
      </c>
    </row>
    <row r="275" spans="1:24" ht="15" customHeight="1" hidden="1">
      <c r="A275" s="43"/>
      <c r="B275" s="44" t="s">
        <v>113</v>
      </c>
      <c r="C275" s="44"/>
      <c r="D275" s="44"/>
      <c r="E275" s="60"/>
      <c r="F275" s="62">
        <v>21.89</v>
      </c>
      <c r="G275" s="62">
        <f t="shared" si="48"/>
        <v>21.89</v>
      </c>
      <c r="H275" s="60">
        <v>54324.78</v>
      </c>
      <c r="I275" s="120"/>
      <c r="J275" s="120">
        <v>837.62</v>
      </c>
      <c r="K275" s="120">
        <v>43232.55</v>
      </c>
      <c r="L275" s="124"/>
      <c r="M275" s="124"/>
      <c r="N275" s="124"/>
      <c r="O275" s="120">
        <v>126724</v>
      </c>
      <c r="P275" s="125">
        <v>4.28833</v>
      </c>
      <c r="Q275" s="120">
        <f>P275*O275</f>
        <v>543434.33092</v>
      </c>
      <c r="R275" s="127">
        <v>171130</v>
      </c>
      <c r="S275" s="127">
        <v>9.061540716</v>
      </c>
      <c r="T275" s="71"/>
      <c r="U275" s="71"/>
      <c r="V275" s="71"/>
      <c r="W275" s="104">
        <f t="shared" si="40"/>
        <v>1161.6385100628268</v>
      </c>
      <c r="X275" s="104">
        <f t="shared" si="41"/>
        <v>684.547655183704</v>
      </c>
    </row>
    <row r="276" spans="1:24" ht="15" customHeight="1" hidden="1">
      <c r="A276" s="43"/>
      <c r="B276" s="44" t="s">
        <v>114</v>
      </c>
      <c r="C276" s="44"/>
      <c r="D276" s="44"/>
      <c r="E276" s="61">
        <v>229.867</v>
      </c>
      <c r="F276" s="61">
        <v>18.472</v>
      </c>
      <c r="G276" s="62">
        <f t="shared" si="48"/>
        <v>248.339</v>
      </c>
      <c r="H276" s="60">
        <v>616306.72</v>
      </c>
      <c r="I276" s="120"/>
      <c r="J276" s="120">
        <v>1157.43</v>
      </c>
      <c r="K276" s="120">
        <v>59739.11</v>
      </c>
      <c r="L276" s="124"/>
      <c r="M276" s="124"/>
      <c r="N276" s="124"/>
      <c r="O276" s="120">
        <v>127612</v>
      </c>
      <c r="P276" s="125">
        <v>4.23582</v>
      </c>
      <c r="Q276" s="120">
        <f>P276*O276</f>
        <v>540541.46184</v>
      </c>
      <c r="R276" s="127">
        <v>171130</v>
      </c>
      <c r="S276" s="127">
        <v>9.061540716</v>
      </c>
      <c r="T276" s="71"/>
      <c r="U276" s="71"/>
      <c r="V276" s="71"/>
      <c r="W276" s="104">
        <f t="shared" si="40"/>
        <v>1169.7785229801573</v>
      </c>
      <c r="X276" s="104">
        <f t="shared" si="41"/>
        <v>689.3445233207824</v>
      </c>
    </row>
    <row r="277" spans="1:24" ht="15" customHeight="1" hidden="1">
      <c r="A277" s="43"/>
      <c r="B277" s="44" t="s">
        <v>115</v>
      </c>
      <c r="C277" s="44"/>
      <c r="D277" s="44"/>
      <c r="E277" s="61">
        <v>254.258</v>
      </c>
      <c r="F277" s="61">
        <v>19.399</v>
      </c>
      <c r="G277" s="62">
        <f t="shared" si="48"/>
        <v>273.65700000000004</v>
      </c>
      <c r="H277" s="60">
        <v>679140.48</v>
      </c>
      <c r="I277" s="124"/>
      <c r="J277" s="124">
        <v>1023.53</v>
      </c>
      <c r="K277" s="124">
        <v>52828.09</v>
      </c>
      <c r="L277" s="124"/>
      <c r="M277" s="124"/>
      <c r="N277" s="124"/>
      <c r="O277" s="124">
        <v>122620</v>
      </c>
      <c r="P277" s="78"/>
      <c r="Q277" s="124"/>
      <c r="R277" s="71"/>
      <c r="S277" s="71"/>
      <c r="T277" s="71"/>
      <c r="U277" s="71"/>
      <c r="V277" s="71"/>
      <c r="W277" s="104">
        <f t="shared" si="40"/>
        <v>1124.0184503638127</v>
      </c>
      <c r="X277" s="104">
        <f t="shared" si="41"/>
        <v>662.3783456853143</v>
      </c>
    </row>
    <row r="278" spans="1:24" ht="15" customHeight="1" hidden="1">
      <c r="A278" s="43"/>
      <c r="B278" s="44" t="s">
        <v>116</v>
      </c>
      <c r="C278" s="44"/>
      <c r="D278" s="44"/>
      <c r="E278" s="61">
        <v>311.099</v>
      </c>
      <c r="F278" s="61">
        <v>24.797</v>
      </c>
      <c r="G278" s="62">
        <f t="shared" si="48"/>
        <v>335.896</v>
      </c>
      <c r="H278" s="60">
        <v>833600.69</v>
      </c>
      <c r="I278" s="120"/>
      <c r="J278" s="120">
        <v>1077.27</v>
      </c>
      <c r="K278" s="120">
        <v>55601.44</v>
      </c>
      <c r="L278" s="124"/>
      <c r="M278" s="124"/>
      <c r="N278" s="124"/>
      <c r="O278" s="124">
        <v>157187</v>
      </c>
      <c r="P278" s="78"/>
      <c r="Q278" s="124"/>
      <c r="R278" s="71"/>
      <c r="S278" s="71"/>
      <c r="T278" s="71"/>
      <c r="U278" s="71"/>
      <c r="V278" s="71"/>
      <c r="W278" s="104">
        <f t="shared" si="40"/>
        <v>1440.8831198608436</v>
      </c>
      <c r="X278" s="104">
        <f t="shared" si="41"/>
        <v>849.1050809267454</v>
      </c>
    </row>
    <row r="279" spans="1:24" ht="15" customHeight="1">
      <c r="A279" s="43"/>
      <c r="B279" s="118" t="s">
        <v>117</v>
      </c>
      <c r="C279" s="58">
        <f aca="true" t="shared" si="49" ref="C279:K279">C278+C277+C276+C275+C274+C273+C268+C267+C266+C265+C264+C263</f>
        <v>0</v>
      </c>
      <c r="D279" s="58">
        <f t="shared" si="49"/>
        <v>0</v>
      </c>
      <c r="E279" s="59">
        <f t="shared" si="49"/>
        <v>2047.3279999999997</v>
      </c>
      <c r="F279" s="59">
        <f t="shared" si="49"/>
        <v>242.63500000000002</v>
      </c>
      <c r="G279" s="59">
        <f t="shared" si="49"/>
        <v>2289.9629999999997</v>
      </c>
      <c r="H279" s="58">
        <f t="shared" si="49"/>
        <v>5552857.127097599</v>
      </c>
      <c r="I279" s="58">
        <f t="shared" si="49"/>
        <v>0</v>
      </c>
      <c r="J279" s="58">
        <f t="shared" si="49"/>
        <v>13159.47</v>
      </c>
      <c r="K279" s="58">
        <f t="shared" si="49"/>
        <v>663203.8799999999</v>
      </c>
      <c r="L279" s="58"/>
      <c r="M279" s="58"/>
      <c r="N279" s="124"/>
      <c r="O279" s="79">
        <v>96680</v>
      </c>
      <c r="P279" s="78"/>
      <c r="Q279" s="58"/>
      <c r="R279" s="71"/>
      <c r="S279" s="71"/>
      <c r="T279" s="71"/>
      <c r="U279" s="71"/>
      <c r="V279" s="71"/>
      <c r="W279" s="104">
        <f t="shared" si="40"/>
        <v>886.2347396931449</v>
      </c>
      <c r="X279" s="104">
        <f t="shared" si="41"/>
        <v>522.2536165458832</v>
      </c>
    </row>
    <row r="280" spans="1:24" ht="15" customHeight="1">
      <c r="A280" s="42">
        <v>13</v>
      </c>
      <c r="B280" s="221" t="s">
        <v>50</v>
      </c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71"/>
      <c r="S280" s="71"/>
      <c r="T280" s="71" t="s">
        <v>79</v>
      </c>
      <c r="U280" s="71"/>
      <c r="V280" s="71"/>
      <c r="W280" s="104"/>
      <c r="X280" s="104"/>
    </row>
    <row r="281" spans="1:24" ht="15" customHeight="1" hidden="1">
      <c r="A281" s="43"/>
      <c r="B281" s="199" t="s">
        <v>80</v>
      </c>
      <c r="C281" s="199" t="s">
        <v>81</v>
      </c>
      <c r="D281" s="199"/>
      <c r="E281" s="199"/>
      <c r="F281" s="199"/>
      <c r="G281" s="199"/>
      <c r="H281" s="199"/>
      <c r="I281" s="118" t="s">
        <v>82</v>
      </c>
      <c r="J281" s="118" t="s">
        <v>83</v>
      </c>
      <c r="K281" s="118" t="s">
        <v>84</v>
      </c>
      <c r="L281" s="199" t="s">
        <v>85</v>
      </c>
      <c r="M281" s="199" t="s">
        <v>86</v>
      </c>
      <c r="N281" s="199" t="s">
        <v>87</v>
      </c>
      <c r="O281" s="199" t="s">
        <v>88</v>
      </c>
      <c r="P281" s="200" t="s">
        <v>89</v>
      </c>
      <c r="Q281" s="199" t="s">
        <v>90</v>
      </c>
      <c r="R281" s="71"/>
      <c r="S281" s="71"/>
      <c r="T281" s="74">
        <v>5561284</v>
      </c>
      <c r="U281" s="71"/>
      <c r="V281" s="71"/>
      <c r="W281" s="104" t="e">
        <f aca="true" t="shared" si="50" ref="W281:W344">O281*$W$456/$O$456</f>
        <v>#VALUE!</v>
      </c>
      <c r="X281" s="104" t="e">
        <f aca="true" t="shared" si="51" ref="X281:X344">O281*$X$456/$O$456</f>
        <v>#VALUE!</v>
      </c>
    </row>
    <row r="282" spans="1:24" ht="15" customHeight="1" hidden="1">
      <c r="A282" s="43"/>
      <c r="B282" s="199"/>
      <c r="C282" s="199">
        <v>2022.64</v>
      </c>
      <c r="D282" s="199"/>
      <c r="E282" s="199"/>
      <c r="F282" s="199"/>
      <c r="G282" s="199"/>
      <c r="H282" s="199"/>
      <c r="I282" s="126">
        <v>25.35</v>
      </c>
      <c r="J282" s="126">
        <f>I282*1.18</f>
        <v>29.913</v>
      </c>
      <c r="K282" s="226">
        <f>29.913+19.14</f>
        <v>49.053</v>
      </c>
      <c r="L282" s="199"/>
      <c r="M282" s="199"/>
      <c r="N282" s="199"/>
      <c r="O282" s="199"/>
      <c r="P282" s="200"/>
      <c r="Q282" s="199"/>
      <c r="R282" s="71"/>
      <c r="S282" s="71"/>
      <c r="T282" s="74">
        <v>8050903</v>
      </c>
      <c r="U282" s="71"/>
      <c r="V282" s="71"/>
      <c r="W282" s="104">
        <f t="shared" si="50"/>
        <v>0</v>
      </c>
      <c r="X282" s="104">
        <f t="shared" si="51"/>
        <v>0</v>
      </c>
    </row>
    <row r="283" spans="1:24" ht="15" customHeight="1" hidden="1">
      <c r="A283" s="43"/>
      <c r="B283" s="199"/>
      <c r="C283" s="199" t="s">
        <v>93</v>
      </c>
      <c r="D283" s="199"/>
      <c r="E283" s="199"/>
      <c r="F283" s="199"/>
      <c r="G283" s="199"/>
      <c r="H283" s="199"/>
      <c r="I283" s="118" t="s">
        <v>94</v>
      </c>
      <c r="J283" s="118" t="s">
        <v>83</v>
      </c>
      <c r="K283" s="226"/>
      <c r="L283" s="199"/>
      <c r="M283" s="199"/>
      <c r="N283" s="199"/>
      <c r="O283" s="199"/>
      <c r="P283" s="200"/>
      <c r="Q283" s="199"/>
      <c r="R283" s="71"/>
      <c r="S283" s="71"/>
      <c r="T283" s="74">
        <v>5568176</v>
      </c>
      <c r="U283" s="71"/>
      <c r="V283" s="71"/>
      <c r="W283" s="104">
        <f t="shared" si="50"/>
        <v>0</v>
      </c>
      <c r="X283" s="104">
        <f t="shared" si="51"/>
        <v>0</v>
      </c>
    </row>
    <row r="284" spans="1:24" ht="15" customHeight="1" hidden="1">
      <c r="A284" s="43"/>
      <c r="B284" s="199"/>
      <c r="C284" s="207">
        <f>C282*1.18</f>
        <v>2386.7152</v>
      </c>
      <c r="D284" s="207"/>
      <c r="E284" s="207"/>
      <c r="F284" s="207"/>
      <c r="G284" s="207"/>
      <c r="H284" s="207"/>
      <c r="I284" s="126">
        <v>16.22</v>
      </c>
      <c r="J284" s="126">
        <f>I284*1.18</f>
        <v>19.139599999999998</v>
      </c>
      <c r="K284" s="226"/>
      <c r="L284" s="199"/>
      <c r="M284" s="199"/>
      <c r="N284" s="199"/>
      <c r="O284" s="199"/>
      <c r="P284" s="200"/>
      <c r="Q284" s="199"/>
      <c r="R284" s="71"/>
      <c r="S284" s="71"/>
      <c r="T284" s="71" t="s">
        <v>95</v>
      </c>
      <c r="U284" s="71"/>
      <c r="V284" s="71"/>
      <c r="W284" s="104">
        <f t="shared" si="50"/>
        <v>0</v>
      </c>
      <c r="X284" s="104">
        <f t="shared" si="51"/>
        <v>0</v>
      </c>
    </row>
    <row r="285" spans="1:24" ht="45" customHeight="1" hidden="1">
      <c r="A285" s="43"/>
      <c r="B285" s="118" t="s">
        <v>96</v>
      </c>
      <c r="C285" s="118" t="s">
        <v>97</v>
      </c>
      <c r="D285" s="118" t="s">
        <v>98</v>
      </c>
      <c r="E285" s="118" t="s">
        <v>99</v>
      </c>
      <c r="F285" s="118" t="s">
        <v>100</v>
      </c>
      <c r="G285" s="118" t="s">
        <v>101</v>
      </c>
      <c r="H285" s="118" t="s">
        <v>90</v>
      </c>
      <c r="I285" s="118" t="s">
        <v>171</v>
      </c>
      <c r="J285" s="118" t="s">
        <v>102</v>
      </c>
      <c r="K285" s="118" t="s">
        <v>90</v>
      </c>
      <c r="L285" s="199"/>
      <c r="M285" s="199"/>
      <c r="N285" s="199"/>
      <c r="O285" s="199"/>
      <c r="P285" s="200"/>
      <c r="Q285" s="199"/>
      <c r="R285" s="71"/>
      <c r="S285" s="71"/>
      <c r="T285" s="74" t="s">
        <v>145</v>
      </c>
      <c r="U285" s="71"/>
      <c r="V285" s="71"/>
      <c r="W285" s="104">
        <f t="shared" si="50"/>
        <v>0</v>
      </c>
      <c r="X285" s="104">
        <f t="shared" si="51"/>
        <v>0</v>
      </c>
    </row>
    <row r="286" spans="1:24" ht="15" customHeight="1" hidden="1">
      <c r="A286" s="43"/>
      <c r="B286" s="44" t="s">
        <v>103</v>
      </c>
      <c r="C286" s="44"/>
      <c r="D286" s="44"/>
      <c r="E286" s="62">
        <v>403.331</v>
      </c>
      <c r="F286" s="62">
        <v>18.445</v>
      </c>
      <c r="G286" s="62">
        <f aca="true" t="shared" si="52" ref="G286:G291">F286+E286</f>
        <v>421.776</v>
      </c>
      <c r="H286" s="60">
        <v>1006659.19</v>
      </c>
      <c r="I286" s="120">
        <f>511+164+1470</f>
        <v>2145</v>
      </c>
      <c r="J286" s="120">
        <v>12.12</v>
      </c>
      <c r="K286" s="120">
        <v>105804</v>
      </c>
      <c r="L286" s="120"/>
      <c r="M286" s="120"/>
      <c r="N286" s="120">
        <v>48610.2</v>
      </c>
      <c r="O286" s="120">
        <v>344518</v>
      </c>
      <c r="P286" s="121">
        <v>3.20931</v>
      </c>
      <c r="Q286" s="120">
        <f aca="true" t="shared" si="53" ref="Q286:Q291">P286*O286</f>
        <v>1105665.06258</v>
      </c>
      <c r="R286" s="127">
        <v>15794.7</v>
      </c>
      <c r="S286" s="127">
        <v>8.549173158</v>
      </c>
      <c r="T286" s="74" t="s">
        <v>146</v>
      </c>
      <c r="U286" s="71"/>
      <c r="V286" s="71"/>
      <c r="W286" s="104">
        <f t="shared" si="50"/>
        <v>3158.08667821269</v>
      </c>
      <c r="X286" s="104">
        <f t="shared" si="51"/>
        <v>1861.044388344586</v>
      </c>
    </row>
    <row r="287" spans="1:24" ht="15" customHeight="1" hidden="1">
      <c r="A287" s="43"/>
      <c r="B287" s="44" t="s">
        <v>104</v>
      </c>
      <c r="C287" s="44"/>
      <c r="D287" s="44"/>
      <c r="E287" s="62">
        <v>338.55</v>
      </c>
      <c r="F287" s="62">
        <v>17.354</v>
      </c>
      <c r="G287" s="62">
        <f t="shared" si="52"/>
        <v>355.904</v>
      </c>
      <c r="H287" s="60">
        <v>849441.51</v>
      </c>
      <c r="I287" s="120">
        <f>1690+52+501.3</f>
        <v>2243.3</v>
      </c>
      <c r="J287" s="120">
        <v>12.14</v>
      </c>
      <c r="K287" s="120">
        <v>110626.62</v>
      </c>
      <c r="L287" s="124"/>
      <c r="M287" s="124"/>
      <c r="N287" s="124">
        <v>44952.5</v>
      </c>
      <c r="O287" s="120">
        <v>301608</v>
      </c>
      <c r="P287" s="121">
        <v>3.39007</v>
      </c>
      <c r="Q287" s="120">
        <f t="shared" si="53"/>
        <v>1022472.23256</v>
      </c>
      <c r="R287" s="127">
        <v>15794.7</v>
      </c>
      <c r="S287" s="127">
        <v>8.549173158</v>
      </c>
      <c r="T287" s="71"/>
      <c r="U287" s="71"/>
      <c r="V287" s="71"/>
      <c r="W287" s="104">
        <f t="shared" si="50"/>
        <v>2764.744387353848</v>
      </c>
      <c r="X287" s="104">
        <f t="shared" si="51"/>
        <v>1629.2497805044552</v>
      </c>
    </row>
    <row r="288" spans="1:24" ht="15" customHeight="1" hidden="1">
      <c r="A288" s="43"/>
      <c r="B288" s="44" t="s">
        <v>105</v>
      </c>
      <c r="C288" s="44"/>
      <c r="D288" s="44"/>
      <c r="E288" s="62">
        <v>439.57</v>
      </c>
      <c r="F288" s="62">
        <v>20.085</v>
      </c>
      <c r="G288" s="62">
        <f t="shared" si="52"/>
        <v>459.655</v>
      </c>
      <c r="H288" s="60">
        <v>1097065.58</v>
      </c>
      <c r="I288" s="120">
        <f>1690+48+556.8</f>
        <v>2294.8</v>
      </c>
      <c r="J288" s="120">
        <v>14.56</v>
      </c>
      <c r="K288" s="120">
        <v>113271.21</v>
      </c>
      <c r="L288" s="124"/>
      <c r="M288" s="124"/>
      <c r="N288" s="124">
        <v>48796.5</v>
      </c>
      <c r="O288" s="120">
        <v>310122</v>
      </c>
      <c r="P288" s="121">
        <v>3.39864</v>
      </c>
      <c r="Q288" s="120">
        <f t="shared" si="53"/>
        <v>1053993.03408</v>
      </c>
      <c r="R288" s="127">
        <v>15794.7</v>
      </c>
      <c r="S288" s="127">
        <v>8.549173158</v>
      </c>
      <c r="T288" s="71"/>
      <c r="U288" s="71"/>
      <c r="V288" s="71"/>
      <c r="W288" s="104">
        <f t="shared" si="50"/>
        <v>2842.7895112031183</v>
      </c>
      <c r="X288" s="104">
        <f t="shared" si="51"/>
        <v>1675.2413743322547</v>
      </c>
    </row>
    <row r="289" spans="1:24" ht="15" customHeight="1" hidden="1">
      <c r="A289" s="43"/>
      <c r="B289" s="44" t="s">
        <v>106</v>
      </c>
      <c r="C289" s="44"/>
      <c r="D289" s="44"/>
      <c r="E289" s="62">
        <v>149.949</v>
      </c>
      <c r="F289" s="62">
        <v>25.426</v>
      </c>
      <c r="G289" s="62">
        <f t="shared" si="52"/>
        <v>175.375</v>
      </c>
      <c r="H289" s="60">
        <v>418570.18</v>
      </c>
      <c r="I289" s="120">
        <f>1775+50+541</f>
        <v>2366</v>
      </c>
      <c r="J289" s="120">
        <v>17.55</v>
      </c>
      <c r="K289" s="120">
        <v>116930.15</v>
      </c>
      <c r="L289" s="124"/>
      <c r="M289" s="124"/>
      <c r="N289" s="124">
        <v>37085.1</v>
      </c>
      <c r="O289" s="120">
        <v>285937</v>
      </c>
      <c r="P289" s="121">
        <v>3.31733</v>
      </c>
      <c r="Q289" s="120">
        <f t="shared" si="53"/>
        <v>948547.38821</v>
      </c>
      <c r="R289" s="127">
        <v>15794.7</v>
      </c>
      <c r="S289" s="127">
        <v>8.549173158</v>
      </c>
      <c r="T289" s="71"/>
      <c r="U289" s="71"/>
      <c r="V289" s="71"/>
      <c r="W289" s="104">
        <f t="shared" si="50"/>
        <v>2621.093326061634</v>
      </c>
      <c r="X289" s="104">
        <f t="shared" si="51"/>
        <v>1544.5969420177928</v>
      </c>
    </row>
    <row r="290" spans="1:24" ht="15" customHeight="1" hidden="1">
      <c r="A290" s="43"/>
      <c r="B290" s="44" t="s">
        <v>107</v>
      </c>
      <c r="C290" s="44"/>
      <c r="D290" s="44"/>
      <c r="E290" s="60"/>
      <c r="F290" s="62">
        <v>27.077</v>
      </c>
      <c r="G290" s="62">
        <f t="shared" si="52"/>
        <v>27.077</v>
      </c>
      <c r="H290" s="60">
        <v>64625.01</v>
      </c>
      <c r="I290" s="120">
        <f>66+457.6</f>
        <v>523.6</v>
      </c>
      <c r="J290" s="120">
        <f>24+1355.34</f>
        <v>1379.34</v>
      </c>
      <c r="K290" s="120">
        <v>93336.86</v>
      </c>
      <c r="L290" s="124"/>
      <c r="M290" s="124"/>
      <c r="N290" s="124">
        <v>16767.1</v>
      </c>
      <c r="O290" s="120">
        <v>29975</v>
      </c>
      <c r="P290" s="121">
        <v>3.40847</v>
      </c>
      <c r="Q290" s="120">
        <f t="shared" si="53"/>
        <v>102168.88825</v>
      </c>
      <c r="R290" s="127">
        <v>15794.7</v>
      </c>
      <c r="S290" s="127">
        <v>8.355184889</v>
      </c>
      <c r="T290" s="71"/>
      <c r="U290" s="71"/>
      <c r="V290" s="71"/>
      <c r="W290" s="104">
        <f t="shared" si="50"/>
        <v>274.7712693659704</v>
      </c>
      <c r="X290" s="104">
        <f t="shared" si="51"/>
        <v>161.9213090190613</v>
      </c>
    </row>
    <row r="291" spans="1:24" ht="15" customHeight="1" hidden="1">
      <c r="A291" s="43"/>
      <c r="B291" s="44" t="s">
        <v>108</v>
      </c>
      <c r="C291" s="44"/>
      <c r="D291" s="44"/>
      <c r="E291" s="60"/>
      <c r="F291" s="62">
        <v>23.197</v>
      </c>
      <c r="G291" s="62">
        <f t="shared" si="52"/>
        <v>23.197</v>
      </c>
      <c r="H291" s="60">
        <v>55364.63</v>
      </c>
      <c r="I291" s="120">
        <f>39+534.4</f>
        <v>573.4</v>
      </c>
      <c r="J291" s="120">
        <f>20.12+1136.45</f>
        <v>1156.57</v>
      </c>
      <c r="K291" s="120">
        <v>84853.29</v>
      </c>
      <c r="L291" s="124"/>
      <c r="M291" s="124"/>
      <c r="N291" s="124">
        <v>17397.4</v>
      </c>
      <c r="O291" s="120">
        <v>36201</v>
      </c>
      <c r="P291" s="121">
        <v>3.44841</v>
      </c>
      <c r="Q291" s="120">
        <f t="shared" si="53"/>
        <v>124835.89040999999</v>
      </c>
      <c r="R291" s="127">
        <v>15794.7</v>
      </c>
      <c r="S291" s="127">
        <v>8.355184889</v>
      </c>
      <c r="T291" s="71"/>
      <c r="U291" s="71"/>
      <c r="V291" s="71"/>
      <c r="W291" s="104">
        <f t="shared" si="50"/>
        <v>331.84302659941596</v>
      </c>
      <c r="X291" s="104">
        <f t="shared" si="51"/>
        <v>195.55340476393792</v>
      </c>
    </row>
    <row r="292" spans="1:24" ht="15" customHeight="1" hidden="1">
      <c r="A292" s="43"/>
      <c r="B292" s="220" t="s">
        <v>109</v>
      </c>
      <c r="C292" s="220" t="s">
        <v>81</v>
      </c>
      <c r="D292" s="220"/>
      <c r="E292" s="220"/>
      <c r="F292" s="220"/>
      <c r="G292" s="220"/>
      <c r="H292" s="220"/>
      <c r="I292" s="122" t="s">
        <v>82</v>
      </c>
      <c r="J292" s="122" t="s">
        <v>83</v>
      </c>
      <c r="K292" s="122" t="s">
        <v>84</v>
      </c>
      <c r="L292" s="199"/>
      <c r="M292" s="199"/>
      <c r="N292" s="118"/>
      <c r="O292" s="222"/>
      <c r="P292" s="223"/>
      <c r="Q292" s="199"/>
      <c r="R292" s="71"/>
      <c r="S292" s="71"/>
      <c r="T292" s="71"/>
      <c r="U292" s="71"/>
      <c r="V292" s="71"/>
      <c r="W292" s="104">
        <f t="shared" si="50"/>
        <v>0</v>
      </c>
      <c r="X292" s="104">
        <f t="shared" si="51"/>
        <v>0</v>
      </c>
    </row>
    <row r="293" spans="1:24" ht="15" customHeight="1" hidden="1">
      <c r="A293" s="43"/>
      <c r="B293" s="220"/>
      <c r="C293" s="220">
        <v>2103.15</v>
      </c>
      <c r="D293" s="220"/>
      <c r="E293" s="220"/>
      <c r="F293" s="220"/>
      <c r="G293" s="220"/>
      <c r="H293" s="220"/>
      <c r="I293" s="49">
        <v>26.61</v>
      </c>
      <c r="J293" s="49">
        <f>I293*1.18</f>
        <v>31.3998</v>
      </c>
      <c r="K293" s="224">
        <f>J295+J293</f>
        <v>51.61319999999999</v>
      </c>
      <c r="L293" s="199"/>
      <c r="M293" s="199"/>
      <c r="N293" s="82"/>
      <c r="O293" s="222"/>
      <c r="P293" s="223"/>
      <c r="Q293" s="199"/>
      <c r="R293" s="71"/>
      <c r="S293" s="71"/>
      <c r="T293" s="71"/>
      <c r="U293" s="71"/>
      <c r="V293" s="71"/>
      <c r="W293" s="104">
        <f t="shared" si="50"/>
        <v>0</v>
      </c>
      <c r="X293" s="104">
        <f t="shared" si="51"/>
        <v>0</v>
      </c>
    </row>
    <row r="294" spans="1:24" ht="15" customHeight="1" hidden="1">
      <c r="A294" s="43"/>
      <c r="B294" s="220"/>
      <c r="C294" s="220" t="s">
        <v>93</v>
      </c>
      <c r="D294" s="220"/>
      <c r="E294" s="220"/>
      <c r="F294" s="220"/>
      <c r="G294" s="220"/>
      <c r="H294" s="220"/>
      <c r="I294" s="122" t="s">
        <v>110</v>
      </c>
      <c r="J294" s="122" t="s">
        <v>83</v>
      </c>
      <c r="K294" s="224"/>
      <c r="L294" s="199"/>
      <c r="M294" s="199"/>
      <c r="N294" s="126"/>
      <c r="O294" s="222"/>
      <c r="P294" s="223"/>
      <c r="Q294" s="199"/>
      <c r="R294" s="71"/>
      <c r="S294" s="71"/>
      <c r="T294" s="71"/>
      <c r="U294" s="71"/>
      <c r="V294" s="71"/>
      <c r="W294" s="104">
        <f t="shared" si="50"/>
        <v>0</v>
      </c>
      <c r="X294" s="104">
        <f t="shared" si="51"/>
        <v>0</v>
      </c>
    </row>
    <row r="295" spans="1:24" ht="15" customHeight="1" hidden="1">
      <c r="A295" s="43"/>
      <c r="B295" s="220"/>
      <c r="C295" s="225">
        <f>C293*1.18</f>
        <v>2481.717</v>
      </c>
      <c r="D295" s="225"/>
      <c r="E295" s="225"/>
      <c r="F295" s="225"/>
      <c r="G295" s="225"/>
      <c r="H295" s="225"/>
      <c r="I295" s="49">
        <v>17.13</v>
      </c>
      <c r="J295" s="49">
        <f>I295*1.18</f>
        <v>20.213399999999996</v>
      </c>
      <c r="K295" s="224"/>
      <c r="L295" s="199"/>
      <c r="M295" s="199"/>
      <c r="N295" s="126"/>
      <c r="O295" s="222"/>
      <c r="P295" s="223"/>
      <c r="Q295" s="199"/>
      <c r="R295" s="71"/>
      <c r="S295" s="71"/>
      <c r="T295" s="71"/>
      <c r="U295" s="71"/>
      <c r="V295" s="71"/>
      <c r="W295" s="104">
        <f t="shared" si="50"/>
        <v>0</v>
      </c>
      <c r="X295" s="104">
        <f t="shared" si="51"/>
        <v>0</v>
      </c>
    </row>
    <row r="296" spans="1:24" ht="15" customHeight="1" hidden="1">
      <c r="A296" s="43"/>
      <c r="B296" s="45" t="s">
        <v>111</v>
      </c>
      <c r="C296" s="45"/>
      <c r="D296" s="45"/>
      <c r="E296" s="57"/>
      <c r="F296" s="57">
        <v>22.927</v>
      </c>
      <c r="G296" s="57">
        <f aca="true" t="shared" si="54" ref="G296:G301">F296+E296</f>
        <v>22.927</v>
      </c>
      <c r="H296" s="56">
        <v>56898.33</v>
      </c>
      <c r="I296" s="55">
        <f>127+351.9</f>
        <v>478.9</v>
      </c>
      <c r="J296" s="55">
        <f>23.71+1338.94</f>
        <v>1362.65</v>
      </c>
      <c r="K296" s="55">
        <f>6554.9+18162.75+1223.63+69107.1</f>
        <v>95048.38</v>
      </c>
      <c r="L296" s="124"/>
      <c r="M296" s="124"/>
      <c r="N296" s="124">
        <v>18348.2</v>
      </c>
      <c r="O296" s="120">
        <v>38999</v>
      </c>
      <c r="P296" s="121">
        <v>4.06379</v>
      </c>
      <c r="Q296" s="120">
        <f aca="true" t="shared" si="55" ref="Q296:Q301">P296*O296</f>
        <v>158483.74621</v>
      </c>
      <c r="R296" s="127">
        <v>15794.7</v>
      </c>
      <c r="S296" s="127">
        <v>8.355184889</v>
      </c>
      <c r="T296" s="71"/>
      <c r="U296" s="71"/>
      <c r="V296" s="71"/>
      <c r="W296" s="104">
        <f t="shared" si="50"/>
        <v>357.4914006339776</v>
      </c>
      <c r="X296" s="104">
        <f t="shared" si="51"/>
        <v>210.6678608985612</v>
      </c>
    </row>
    <row r="297" spans="1:24" ht="15" customHeight="1" hidden="1">
      <c r="A297" s="43"/>
      <c r="B297" s="45" t="s">
        <v>112</v>
      </c>
      <c r="C297" s="45"/>
      <c r="D297" s="45"/>
      <c r="E297" s="57"/>
      <c r="F297" s="57">
        <v>21.361</v>
      </c>
      <c r="G297" s="57">
        <f t="shared" si="54"/>
        <v>21.361</v>
      </c>
      <c r="H297" s="56">
        <v>53011.96</v>
      </c>
      <c r="I297" s="55">
        <f>31+355.7</f>
        <v>386.7</v>
      </c>
      <c r="J297" s="55">
        <f>21.78+1229.92</f>
        <v>1251.7</v>
      </c>
      <c r="K297" s="55">
        <f>1600.02+18358.88+1124+63480.39</f>
        <v>84563.29000000001</v>
      </c>
      <c r="L297" s="124"/>
      <c r="M297" s="124"/>
      <c r="N297" s="124">
        <v>17315.1</v>
      </c>
      <c r="O297" s="120">
        <v>37819</v>
      </c>
      <c r="P297" s="121">
        <v>4.14442</v>
      </c>
      <c r="Q297" s="120">
        <f t="shared" si="55"/>
        <v>156737.81998</v>
      </c>
      <c r="R297" s="127">
        <v>15794.7</v>
      </c>
      <c r="S297" s="127">
        <v>8.355184889</v>
      </c>
      <c r="T297" s="71"/>
      <c r="U297" s="71"/>
      <c r="V297" s="71"/>
      <c r="W297" s="104">
        <f t="shared" si="50"/>
        <v>346.6747168023898</v>
      </c>
      <c r="X297" s="104">
        <f t="shared" si="51"/>
        <v>204.29364422992094</v>
      </c>
    </row>
    <row r="298" spans="1:24" ht="15" customHeight="1" hidden="1">
      <c r="A298" s="43"/>
      <c r="B298" s="44" t="s">
        <v>113</v>
      </c>
      <c r="C298" s="44"/>
      <c r="D298" s="44"/>
      <c r="E298" s="61"/>
      <c r="F298" s="61">
        <v>24.354</v>
      </c>
      <c r="G298" s="61">
        <f t="shared" si="54"/>
        <v>24.354</v>
      </c>
      <c r="H298" s="60">
        <v>60439.74</v>
      </c>
      <c r="I298" s="120">
        <f>34+605</f>
        <v>639</v>
      </c>
      <c r="J298" s="120">
        <f>13.49+761.88</f>
        <v>775.37</v>
      </c>
      <c r="K298" s="120">
        <v>73000.25</v>
      </c>
      <c r="L298" s="124"/>
      <c r="M298" s="124"/>
      <c r="N298" s="124">
        <v>18784</v>
      </c>
      <c r="O298" s="120">
        <v>43540</v>
      </c>
      <c r="P298" s="121">
        <v>3.75833</v>
      </c>
      <c r="Q298" s="120">
        <f t="shared" si="55"/>
        <v>163637.6882</v>
      </c>
      <c r="R298" s="127">
        <v>15794.7</v>
      </c>
      <c r="S298" s="127">
        <v>8.355184889</v>
      </c>
      <c r="T298" s="71"/>
      <c r="U298" s="71"/>
      <c r="V298" s="71"/>
      <c r="W298" s="104">
        <f t="shared" si="50"/>
        <v>399.1173000231643</v>
      </c>
      <c r="X298" s="104">
        <f t="shared" si="51"/>
        <v>235.19779131576078</v>
      </c>
    </row>
    <row r="299" spans="1:24" ht="15" customHeight="1" hidden="1">
      <c r="A299" s="43"/>
      <c r="B299" s="44" t="s">
        <v>114</v>
      </c>
      <c r="C299" s="44"/>
      <c r="D299" s="44"/>
      <c r="E299" s="61">
        <v>278.866</v>
      </c>
      <c r="F299" s="61">
        <v>20.552</v>
      </c>
      <c r="G299" s="61">
        <f t="shared" si="54"/>
        <v>299.418</v>
      </c>
      <c r="H299" s="60">
        <v>743069.73</v>
      </c>
      <c r="I299" s="120">
        <f>31+634.5</f>
        <v>665.5</v>
      </c>
      <c r="J299" s="120">
        <f>18.64+1052.77</f>
        <v>1071.41</v>
      </c>
      <c r="K299" s="120">
        <v>89647.72</v>
      </c>
      <c r="L299" s="124"/>
      <c r="M299" s="124"/>
      <c r="N299" s="124">
        <v>43600.6</v>
      </c>
      <c r="O299" s="120">
        <v>310000</v>
      </c>
      <c r="P299" s="121">
        <v>3.19572</v>
      </c>
      <c r="Q299" s="120">
        <f t="shared" si="55"/>
        <v>990673.2000000001</v>
      </c>
      <c r="R299" s="127">
        <v>15794.7</v>
      </c>
      <c r="S299" s="127">
        <v>8.355184889</v>
      </c>
      <c r="T299" s="71"/>
      <c r="U299" s="71"/>
      <c r="V299" s="71"/>
      <c r="W299" s="104">
        <f t="shared" si="50"/>
        <v>2841.6711760951066</v>
      </c>
      <c r="X299" s="104">
        <f t="shared" si="51"/>
        <v>1674.5823451512597</v>
      </c>
    </row>
    <row r="300" spans="1:24" ht="15" customHeight="1" hidden="1">
      <c r="A300" s="43"/>
      <c r="B300" s="44" t="s">
        <v>115</v>
      </c>
      <c r="C300" s="44"/>
      <c r="D300" s="44"/>
      <c r="E300" s="61">
        <v>29.679</v>
      </c>
      <c r="F300" s="90">
        <v>2.369</v>
      </c>
      <c r="G300" s="61">
        <f t="shared" si="54"/>
        <v>32.048</v>
      </c>
      <c r="H300" s="60">
        <v>79534.23</v>
      </c>
      <c r="I300" s="120">
        <v>750</v>
      </c>
      <c r="J300" s="120">
        <v>16.48</v>
      </c>
      <c r="K300" s="120">
        <f>38710.04+850.8</f>
        <v>39560.840000000004</v>
      </c>
      <c r="L300" s="124"/>
      <c r="M300" s="124"/>
      <c r="N300" s="124"/>
      <c r="O300" s="124">
        <f>315089-130</f>
        <v>314959</v>
      </c>
      <c r="P300" s="78"/>
      <c r="Q300" s="120">
        <f t="shared" si="55"/>
        <v>0</v>
      </c>
      <c r="R300" s="71"/>
      <c r="S300" s="71"/>
      <c r="T300" s="71"/>
      <c r="U300" s="71"/>
      <c r="V300" s="71"/>
      <c r="W300" s="104">
        <f t="shared" si="50"/>
        <v>2887.128748231415</v>
      </c>
      <c r="X300" s="104">
        <f t="shared" si="51"/>
        <v>1701.370260795147</v>
      </c>
    </row>
    <row r="301" spans="1:24" ht="15" customHeight="1" hidden="1">
      <c r="A301" s="43"/>
      <c r="B301" s="44" t="s">
        <v>116</v>
      </c>
      <c r="C301" s="44"/>
      <c r="D301" s="44"/>
      <c r="E301" s="61">
        <v>36.314</v>
      </c>
      <c r="F301" s="90">
        <v>3.029</v>
      </c>
      <c r="G301" s="61">
        <f t="shared" si="54"/>
        <v>39.343</v>
      </c>
      <c r="H301" s="60">
        <v>97636.31</v>
      </c>
      <c r="I301" s="120">
        <v>760</v>
      </c>
      <c r="J301" s="120">
        <v>17.35</v>
      </c>
      <c r="K301" s="120">
        <f>39226.18+895.47</f>
        <v>40121.65</v>
      </c>
      <c r="L301" s="124"/>
      <c r="M301" s="124"/>
      <c r="N301" s="124"/>
      <c r="O301" s="124">
        <v>320000</v>
      </c>
      <c r="P301" s="78"/>
      <c r="Q301" s="120">
        <f t="shared" si="55"/>
        <v>0</v>
      </c>
      <c r="R301" s="71"/>
      <c r="S301" s="71"/>
      <c r="T301" s="71"/>
      <c r="U301" s="71"/>
      <c r="V301" s="71"/>
      <c r="W301" s="104">
        <f t="shared" si="50"/>
        <v>2933.337988227207</v>
      </c>
      <c r="X301" s="104">
        <f t="shared" si="51"/>
        <v>1728.6011304787196</v>
      </c>
    </row>
    <row r="302" spans="1:24" ht="15" customHeight="1">
      <c r="A302" s="43"/>
      <c r="B302" s="118" t="s">
        <v>117</v>
      </c>
      <c r="C302" s="58">
        <f aca="true" t="shared" si="56" ref="C302:K302">C301+C300+C299+C298+C297+C296+C291+C290+C289+C288+C287+C286</f>
        <v>0</v>
      </c>
      <c r="D302" s="58">
        <f t="shared" si="56"/>
        <v>0</v>
      </c>
      <c r="E302" s="59">
        <f t="shared" si="56"/>
        <v>1676.259</v>
      </c>
      <c r="F302" s="91">
        <f t="shared" si="56"/>
        <v>226.176</v>
      </c>
      <c r="G302" s="59">
        <f t="shared" si="56"/>
        <v>1902.4350000000002</v>
      </c>
      <c r="H302" s="58">
        <f t="shared" si="56"/>
        <v>4582316.4</v>
      </c>
      <c r="I302" s="58">
        <f t="shared" si="56"/>
        <v>13826.2</v>
      </c>
      <c r="J302" s="58">
        <f t="shared" si="56"/>
        <v>7087.240000000002</v>
      </c>
      <c r="K302" s="58">
        <f t="shared" si="56"/>
        <v>1046764.26</v>
      </c>
      <c r="L302" s="58"/>
      <c r="M302" s="58"/>
      <c r="N302" s="124"/>
      <c r="O302" s="79">
        <v>310122</v>
      </c>
      <c r="P302" s="78"/>
      <c r="Q302" s="58"/>
      <c r="R302" s="71"/>
      <c r="S302" s="71"/>
      <c r="T302" s="71"/>
      <c r="U302" s="71"/>
      <c r="V302" s="71">
        <v>420</v>
      </c>
      <c r="W302" s="104">
        <f t="shared" si="50"/>
        <v>2842.7895112031183</v>
      </c>
      <c r="X302" s="104">
        <f t="shared" si="51"/>
        <v>1675.2413743322547</v>
      </c>
    </row>
    <row r="303" spans="1:24" ht="15" customHeight="1">
      <c r="A303" s="42">
        <v>14</v>
      </c>
      <c r="B303" s="221" t="s">
        <v>147</v>
      </c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71"/>
      <c r="S303" s="71"/>
      <c r="T303" s="71" t="s">
        <v>79</v>
      </c>
      <c r="U303" s="71"/>
      <c r="V303" s="71"/>
      <c r="W303" s="104"/>
      <c r="X303" s="104"/>
    </row>
    <row r="304" spans="1:24" ht="15" customHeight="1" hidden="1">
      <c r="A304" s="43"/>
      <c r="B304" s="199" t="s">
        <v>80</v>
      </c>
      <c r="C304" s="199" t="s">
        <v>81</v>
      </c>
      <c r="D304" s="199"/>
      <c r="E304" s="199"/>
      <c r="F304" s="199"/>
      <c r="G304" s="199"/>
      <c r="H304" s="199"/>
      <c r="I304" s="118" t="s">
        <v>82</v>
      </c>
      <c r="J304" s="118" t="s">
        <v>83</v>
      </c>
      <c r="K304" s="118" t="s">
        <v>84</v>
      </c>
      <c r="L304" s="199" t="s">
        <v>85</v>
      </c>
      <c r="M304" s="199" t="s">
        <v>86</v>
      </c>
      <c r="N304" s="199" t="s">
        <v>87</v>
      </c>
      <c r="O304" s="199" t="s">
        <v>88</v>
      </c>
      <c r="P304" s="200" t="s">
        <v>89</v>
      </c>
      <c r="Q304" s="199" t="s">
        <v>90</v>
      </c>
      <c r="R304" s="71"/>
      <c r="S304" s="71"/>
      <c r="T304" s="74">
        <v>5561284</v>
      </c>
      <c r="U304" s="71"/>
      <c r="V304" s="71"/>
      <c r="W304" s="104" t="e">
        <f t="shared" si="50"/>
        <v>#VALUE!</v>
      </c>
      <c r="X304" s="104" t="e">
        <f t="shared" si="51"/>
        <v>#VALUE!</v>
      </c>
    </row>
    <row r="305" spans="1:24" ht="15" customHeight="1" hidden="1">
      <c r="A305" s="43"/>
      <c r="B305" s="199"/>
      <c r="C305" s="199">
        <v>2022.64</v>
      </c>
      <c r="D305" s="199"/>
      <c r="E305" s="199"/>
      <c r="F305" s="199"/>
      <c r="G305" s="199"/>
      <c r="H305" s="199"/>
      <c r="I305" s="126">
        <v>25.35</v>
      </c>
      <c r="J305" s="126">
        <f>I305*1.18</f>
        <v>29.913</v>
      </c>
      <c r="K305" s="226">
        <f>29.913+19.14</f>
        <v>49.053</v>
      </c>
      <c r="L305" s="199"/>
      <c r="M305" s="199"/>
      <c r="N305" s="199"/>
      <c r="O305" s="199"/>
      <c r="P305" s="200"/>
      <c r="Q305" s="199"/>
      <c r="R305" s="71"/>
      <c r="S305" s="71"/>
      <c r="T305" s="74">
        <v>8050903</v>
      </c>
      <c r="U305" s="71"/>
      <c r="V305" s="71"/>
      <c r="W305" s="104">
        <f t="shared" si="50"/>
        <v>0</v>
      </c>
      <c r="X305" s="104">
        <f t="shared" si="51"/>
        <v>0</v>
      </c>
    </row>
    <row r="306" spans="1:24" ht="15" customHeight="1" hidden="1">
      <c r="A306" s="43"/>
      <c r="B306" s="199"/>
      <c r="C306" s="199" t="s">
        <v>93</v>
      </c>
      <c r="D306" s="199"/>
      <c r="E306" s="199"/>
      <c r="F306" s="199"/>
      <c r="G306" s="199"/>
      <c r="H306" s="199"/>
      <c r="I306" s="118" t="s">
        <v>94</v>
      </c>
      <c r="J306" s="118" t="s">
        <v>83</v>
      </c>
      <c r="K306" s="226"/>
      <c r="L306" s="199"/>
      <c r="M306" s="199"/>
      <c r="N306" s="199"/>
      <c r="O306" s="199"/>
      <c r="P306" s="200"/>
      <c r="Q306" s="199"/>
      <c r="R306" s="71"/>
      <c r="S306" s="71"/>
      <c r="T306" s="74">
        <v>5568176</v>
      </c>
      <c r="U306" s="71"/>
      <c r="V306" s="71"/>
      <c r="W306" s="104">
        <f t="shared" si="50"/>
        <v>0</v>
      </c>
      <c r="X306" s="104">
        <f t="shared" si="51"/>
        <v>0</v>
      </c>
    </row>
    <row r="307" spans="1:24" ht="15" customHeight="1" hidden="1">
      <c r="A307" s="43"/>
      <c r="B307" s="199"/>
      <c r="C307" s="207">
        <f>C305*1.18</f>
        <v>2386.7152</v>
      </c>
      <c r="D307" s="207"/>
      <c r="E307" s="207"/>
      <c r="F307" s="207"/>
      <c r="G307" s="207"/>
      <c r="H307" s="207"/>
      <c r="I307" s="126">
        <v>16.22</v>
      </c>
      <c r="J307" s="126">
        <f>I307*1.18</f>
        <v>19.139599999999998</v>
      </c>
      <c r="K307" s="226"/>
      <c r="L307" s="199"/>
      <c r="M307" s="199"/>
      <c r="N307" s="199"/>
      <c r="O307" s="199"/>
      <c r="P307" s="200"/>
      <c r="Q307" s="199"/>
      <c r="R307" s="71"/>
      <c r="S307" s="71"/>
      <c r="T307" s="71" t="s">
        <v>95</v>
      </c>
      <c r="U307" s="71"/>
      <c r="V307" s="71"/>
      <c r="W307" s="104">
        <f t="shared" si="50"/>
        <v>0</v>
      </c>
      <c r="X307" s="104">
        <f t="shared" si="51"/>
        <v>0</v>
      </c>
    </row>
    <row r="308" spans="1:24" ht="45" customHeight="1" hidden="1">
      <c r="A308" s="43"/>
      <c r="B308" s="118" t="s">
        <v>96</v>
      </c>
      <c r="C308" s="118" t="s">
        <v>97</v>
      </c>
      <c r="D308" s="118" t="s">
        <v>98</v>
      </c>
      <c r="E308" s="118" t="s">
        <v>99</v>
      </c>
      <c r="F308" s="118" t="s">
        <v>100</v>
      </c>
      <c r="G308" s="118" t="s">
        <v>101</v>
      </c>
      <c r="H308" s="118" t="s">
        <v>90</v>
      </c>
      <c r="I308" s="118" t="s">
        <v>171</v>
      </c>
      <c r="J308" s="118" t="s">
        <v>102</v>
      </c>
      <c r="K308" s="118" t="s">
        <v>90</v>
      </c>
      <c r="L308" s="199"/>
      <c r="M308" s="199"/>
      <c r="N308" s="199"/>
      <c r="O308" s="199"/>
      <c r="P308" s="200"/>
      <c r="Q308" s="199"/>
      <c r="R308" s="71"/>
      <c r="S308" s="71"/>
      <c r="T308" s="74" t="s">
        <v>145</v>
      </c>
      <c r="U308" s="71"/>
      <c r="V308" s="71"/>
      <c r="W308" s="104">
        <f t="shared" si="50"/>
        <v>0</v>
      </c>
      <c r="X308" s="104">
        <f t="shared" si="51"/>
        <v>0</v>
      </c>
    </row>
    <row r="309" spans="1:24" ht="15" customHeight="1" hidden="1">
      <c r="A309" s="43"/>
      <c r="B309" s="44" t="s">
        <v>103</v>
      </c>
      <c r="C309" s="44"/>
      <c r="D309" s="44"/>
      <c r="E309" s="60"/>
      <c r="F309" s="60"/>
      <c r="G309" s="60"/>
      <c r="H309" s="60"/>
      <c r="I309" s="60"/>
      <c r="J309" s="60"/>
      <c r="K309" s="60"/>
      <c r="L309" s="120"/>
      <c r="M309" s="120"/>
      <c r="N309" s="120">
        <v>48610.2</v>
      </c>
      <c r="O309" s="120">
        <v>27984</v>
      </c>
      <c r="P309" s="121">
        <v>3.20931</v>
      </c>
      <c r="Q309" s="120">
        <f aca="true" t="shared" si="57" ref="Q309:Q314">P309*O309</f>
        <v>89809.33103999999</v>
      </c>
      <c r="R309" s="127">
        <v>15794.7</v>
      </c>
      <c r="S309" s="127">
        <v>8.549173158</v>
      </c>
      <c r="T309" s="74" t="s">
        <v>146</v>
      </c>
      <c r="U309" s="71"/>
      <c r="V309" s="71"/>
      <c r="W309" s="104">
        <f t="shared" si="50"/>
        <v>256.5204070704692</v>
      </c>
      <c r="X309" s="104">
        <f t="shared" si="51"/>
        <v>151.16616886036402</v>
      </c>
    </row>
    <row r="310" spans="1:24" ht="15" customHeight="1" hidden="1">
      <c r="A310" s="43"/>
      <c r="B310" s="44" t="s">
        <v>104</v>
      </c>
      <c r="C310" s="44"/>
      <c r="D310" s="44"/>
      <c r="E310" s="60"/>
      <c r="F310" s="60"/>
      <c r="G310" s="60"/>
      <c r="H310" s="60"/>
      <c r="I310" s="60"/>
      <c r="J310" s="60"/>
      <c r="K310" s="60"/>
      <c r="L310" s="124"/>
      <c r="M310" s="124"/>
      <c r="N310" s="124">
        <v>44952.5</v>
      </c>
      <c r="O310" s="120">
        <v>26914</v>
      </c>
      <c r="P310" s="121">
        <v>3.39007</v>
      </c>
      <c r="Q310" s="120">
        <f t="shared" si="57"/>
        <v>91240.34398</v>
      </c>
      <c r="R310" s="127">
        <v>15794.7</v>
      </c>
      <c r="S310" s="127">
        <v>8.549173158</v>
      </c>
      <c r="T310" s="71"/>
      <c r="U310" s="71"/>
      <c r="V310" s="71"/>
      <c r="W310" s="104">
        <f t="shared" si="50"/>
        <v>246.7120581723345</v>
      </c>
      <c r="X310" s="104">
        <f t="shared" si="51"/>
        <v>145.38615883032583</v>
      </c>
    </row>
    <row r="311" spans="1:24" ht="15" customHeight="1" hidden="1">
      <c r="A311" s="43"/>
      <c r="B311" s="44" t="s">
        <v>105</v>
      </c>
      <c r="C311" s="44"/>
      <c r="D311" s="44"/>
      <c r="E311" s="60"/>
      <c r="F311" s="60"/>
      <c r="G311" s="60"/>
      <c r="H311" s="60"/>
      <c r="I311" s="60"/>
      <c r="J311" s="60"/>
      <c r="K311" s="60"/>
      <c r="L311" s="124"/>
      <c r="M311" s="124"/>
      <c r="N311" s="124">
        <v>48796.5</v>
      </c>
      <c r="O311" s="120">
        <v>28296</v>
      </c>
      <c r="P311" s="121">
        <v>3.39864</v>
      </c>
      <c r="Q311" s="120">
        <f t="shared" si="57"/>
        <v>96167.91743999999</v>
      </c>
      <c r="R311" s="127">
        <v>15794.7</v>
      </c>
      <c r="S311" s="127">
        <v>8.549173158</v>
      </c>
      <c r="T311" s="71"/>
      <c r="U311" s="71"/>
      <c r="V311" s="71"/>
      <c r="W311" s="104">
        <f t="shared" si="50"/>
        <v>259.38041160899076</v>
      </c>
      <c r="X311" s="104">
        <f t="shared" si="51"/>
        <v>152.8515549625808</v>
      </c>
    </row>
    <row r="312" spans="1:24" ht="15" customHeight="1" hidden="1">
      <c r="A312" s="43"/>
      <c r="B312" s="44" t="s">
        <v>106</v>
      </c>
      <c r="C312" s="44"/>
      <c r="D312" s="44"/>
      <c r="E312" s="60"/>
      <c r="F312" s="60"/>
      <c r="G312" s="60"/>
      <c r="H312" s="60"/>
      <c r="I312" s="60"/>
      <c r="J312" s="60"/>
      <c r="K312" s="60"/>
      <c r="L312" s="124"/>
      <c r="M312" s="124"/>
      <c r="N312" s="124">
        <v>37085.1</v>
      </c>
      <c r="O312" s="120">
        <v>25084</v>
      </c>
      <c r="P312" s="121">
        <v>3.31733</v>
      </c>
      <c r="Q312" s="120">
        <f t="shared" si="57"/>
        <v>83211.90572000001</v>
      </c>
      <c r="R312" s="127">
        <v>15794.7</v>
      </c>
      <c r="S312" s="127">
        <v>8.549173158</v>
      </c>
      <c r="T312" s="71"/>
      <c r="U312" s="71"/>
      <c r="V312" s="71"/>
      <c r="W312" s="104">
        <f t="shared" si="50"/>
        <v>229.93703155216016</v>
      </c>
      <c r="X312" s="104">
        <f t="shared" si="51"/>
        <v>135.50072111540064</v>
      </c>
    </row>
    <row r="313" spans="1:24" ht="15" customHeight="1" hidden="1">
      <c r="A313" s="43"/>
      <c r="B313" s="44" t="s">
        <v>107</v>
      </c>
      <c r="C313" s="44"/>
      <c r="D313" s="44"/>
      <c r="E313" s="60"/>
      <c r="F313" s="60"/>
      <c r="G313" s="60"/>
      <c r="H313" s="60"/>
      <c r="I313" s="60"/>
      <c r="J313" s="60"/>
      <c r="K313" s="60"/>
      <c r="L313" s="124"/>
      <c r="M313" s="124"/>
      <c r="N313" s="124">
        <v>16767.1</v>
      </c>
      <c r="O313" s="120">
        <v>28220</v>
      </c>
      <c r="P313" s="121">
        <v>3.40847</v>
      </c>
      <c r="Q313" s="120">
        <f t="shared" si="57"/>
        <v>96187.02339999999</v>
      </c>
      <c r="R313" s="127">
        <v>15794.7</v>
      </c>
      <c r="S313" s="127">
        <v>8.355184889</v>
      </c>
      <c r="T313" s="71"/>
      <c r="U313" s="71"/>
      <c r="V313" s="71"/>
      <c r="W313" s="104">
        <f t="shared" si="50"/>
        <v>258.6837438367868</v>
      </c>
      <c r="X313" s="104">
        <f t="shared" si="51"/>
        <v>152.44101219409208</v>
      </c>
    </row>
    <row r="314" spans="1:24" ht="15" customHeight="1" hidden="1">
      <c r="A314" s="43"/>
      <c r="B314" s="44" t="s">
        <v>108</v>
      </c>
      <c r="C314" s="44"/>
      <c r="D314" s="44"/>
      <c r="E314" s="60"/>
      <c r="F314" s="60"/>
      <c r="G314" s="60"/>
      <c r="H314" s="60"/>
      <c r="I314" s="60"/>
      <c r="J314" s="60"/>
      <c r="K314" s="60"/>
      <c r="L314" s="124"/>
      <c r="M314" s="124"/>
      <c r="N314" s="124">
        <v>17397.4</v>
      </c>
      <c r="O314" s="120">
        <v>32361</v>
      </c>
      <c r="P314" s="121">
        <v>3.44841</v>
      </c>
      <c r="Q314" s="120">
        <f t="shared" si="57"/>
        <v>111593.99601</v>
      </c>
      <c r="R314" s="127">
        <v>15794.7</v>
      </c>
      <c r="S314" s="127">
        <v>8.355184889</v>
      </c>
      <c r="T314" s="71"/>
      <c r="U314" s="71"/>
      <c r="V314" s="71"/>
      <c r="W314" s="104">
        <f t="shared" si="50"/>
        <v>296.64297074068946</v>
      </c>
      <c r="X314" s="104">
        <f t="shared" si="51"/>
        <v>174.81019119819328</v>
      </c>
    </row>
    <row r="315" spans="1:24" ht="15" customHeight="1" hidden="1">
      <c r="A315" s="43"/>
      <c r="B315" s="220" t="s">
        <v>109</v>
      </c>
      <c r="C315" s="220" t="s">
        <v>81</v>
      </c>
      <c r="D315" s="220"/>
      <c r="E315" s="220"/>
      <c r="F315" s="220"/>
      <c r="G315" s="220"/>
      <c r="H315" s="220"/>
      <c r="I315" s="122" t="s">
        <v>82</v>
      </c>
      <c r="J315" s="122" t="s">
        <v>83</v>
      </c>
      <c r="K315" s="122" t="s">
        <v>84</v>
      </c>
      <c r="L315" s="199"/>
      <c r="M315" s="199"/>
      <c r="N315" s="118"/>
      <c r="O315" s="222"/>
      <c r="P315" s="223"/>
      <c r="Q315" s="199"/>
      <c r="R315" s="71"/>
      <c r="S315" s="71"/>
      <c r="T315" s="71"/>
      <c r="U315" s="71"/>
      <c r="V315" s="71"/>
      <c r="W315" s="104">
        <f t="shared" si="50"/>
        <v>0</v>
      </c>
      <c r="X315" s="104">
        <f t="shared" si="51"/>
        <v>0</v>
      </c>
    </row>
    <row r="316" spans="1:24" ht="15" customHeight="1" hidden="1">
      <c r="A316" s="43"/>
      <c r="B316" s="220"/>
      <c r="C316" s="220">
        <v>2103.15</v>
      </c>
      <c r="D316" s="220"/>
      <c r="E316" s="220"/>
      <c r="F316" s="220"/>
      <c r="G316" s="220"/>
      <c r="H316" s="220"/>
      <c r="I316" s="49">
        <v>26.61</v>
      </c>
      <c r="J316" s="49">
        <f>I316*1.18</f>
        <v>31.3998</v>
      </c>
      <c r="K316" s="224">
        <f>J318+J316</f>
        <v>51.61319999999999</v>
      </c>
      <c r="L316" s="199"/>
      <c r="M316" s="199"/>
      <c r="N316" s="82"/>
      <c r="O316" s="222"/>
      <c r="P316" s="223"/>
      <c r="Q316" s="199"/>
      <c r="R316" s="71"/>
      <c r="S316" s="71"/>
      <c r="T316" s="71"/>
      <c r="U316" s="71"/>
      <c r="V316" s="71"/>
      <c r="W316" s="104">
        <f t="shared" si="50"/>
        <v>0</v>
      </c>
      <c r="X316" s="104">
        <f t="shared" si="51"/>
        <v>0</v>
      </c>
    </row>
    <row r="317" spans="1:24" ht="15" customHeight="1" hidden="1">
      <c r="A317" s="43"/>
      <c r="B317" s="220"/>
      <c r="C317" s="220" t="s">
        <v>93</v>
      </c>
      <c r="D317" s="220"/>
      <c r="E317" s="220"/>
      <c r="F317" s="220"/>
      <c r="G317" s="220"/>
      <c r="H317" s="220"/>
      <c r="I317" s="122" t="s">
        <v>110</v>
      </c>
      <c r="J317" s="122" t="s">
        <v>83</v>
      </c>
      <c r="K317" s="224"/>
      <c r="L317" s="199"/>
      <c r="M317" s="199"/>
      <c r="N317" s="126"/>
      <c r="O317" s="222"/>
      <c r="P317" s="223"/>
      <c r="Q317" s="199"/>
      <c r="R317" s="71"/>
      <c r="S317" s="71"/>
      <c r="T317" s="71"/>
      <c r="U317" s="71"/>
      <c r="V317" s="71"/>
      <c r="W317" s="104">
        <f t="shared" si="50"/>
        <v>0</v>
      </c>
      <c r="X317" s="104">
        <f t="shared" si="51"/>
        <v>0</v>
      </c>
    </row>
    <row r="318" spans="1:24" ht="15" customHeight="1" hidden="1">
      <c r="A318" s="43"/>
      <c r="B318" s="220"/>
      <c r="C318" s="225">
        <f>C316*1.18</f>
        <v>2481.717</v>
      </c>
      <c r="D318" s="225"/>
      <c r="E318" s="225"/>
      <c r="F318" s="225"/>
      <c r="G318" s="225"/>
      <c r="H318" s="225"/>
      <c r="I318" s="49">
        <v>17.13</v>
      </c>
      <c r="J318" s="49">
        <f>I318*1.18</f>
        <v>20.213399999999996</v>
      </c>
      <c r="K318" s="224"/>
      <c r="L318" s="199"/>
      <c r="M318" s="199"/>
      <c r="N318" s="126"/>
      <c r="O318" s="222"/>
      <c r="P318" s="223"/>
      <c r="Q318" s="199"/>
      <c r="R318" s="71"/>
      <c r="S318" s="71"/>
      <c r="T318" s="71"/>
      <c r="U318" s="71"/>
      <c r="V318" s="71"/>
      <c r="W318" s="104">
        <f t="shared" si="50"/>
        <v>0</v>
      </c>
      <c r="X318" s="104">
        <f t="shared" si="51"/>
        <v>0</v>
      </c>
    </row>
    <row r="319" spans="1:24" ht="15" customHeight="1" hidden="1">
      <c r="A319" s="43"/>
      <c r="B319" s="44" t="s">
        <v>111</v>
      </c>
      <c r="C319" s="44"/>
      <c r="D319" s="44"/>
      <c r="E319" s="60"/>
      <c r="F319" s="60"/>
      <c r="G319" s="60"/>
      <c r="H319" s="60"/>
      <c r="I319" s="60"/>
      <c r="J319" s="60"/>
      <c r="K319" s="60"/>
      <c r="L319" s="124"/>
      <c r="M319" s="124"/>
      <c r="N319" s="124">
        <v>18348.2</v>
      </c>
      <c r="O319" s="120">
        <v>36822</v>
      </c>
      <c r="P319" s="121">
        <v>4.06379</v>
      </c>
      <c r="Q319" s="120">
        <f aca="true" t="shared" si="58" ref="Q319:Q324">P319*O319</f>
        <v>149636.87538</v>
      </c>
      <c r="R319" s="127">
        <v>15794.7</v>
      </c>
      <c r="S319" s="127">
        <v>8.355184889</v>
      </c>
      <c r="T319" s="71"/>
      <c r="U319" s="71"/>
      <c r="V319" s="71"/>
      <c r="W319" s="104">
        <f t="shared" si="50"/>
        <v>337.5355356328194</v>
      </c>
      <c r="X319" s="104">
        <f t="shared" si="51"/>
        <v>198.90797133277317</v>
      </c>
    </row>
    <row r="320" spans="1:24" ht="15" customHeight="1" hidden="1">
      <c r="A320" s="43"/>
      <c r="B320" s="44" t="s">
        <v>112</v>
      </c>
      <c r="C320" s="44"/>
      <c r="D320" s="44"/>
      <c r="E320" s="60"/>
      <c r="F320" s="60"/>
      <c r="G320" s="60"/>
      <c r="H320" s="60"/>
      <c r="I320" s="60"/>
      <c r="J320" s="60"/>
      <c r="K320" s="60"/>
      <c r="L320" s="124"/>
      <c r="M320" s="124"/>
      <c r="N320" s="124">
        <v>17315.1</v>
      </c>
      <c r="O320" s="120">
        <v>32043</v>
      </c>
      <c r="P320" s="121">
        <v>4.14442</v>
      </c>
      <c r="Q320" s="120">
        <f t="shared" si="58"/>
        <v>132799.65006</v>
      </c>
      <c r="R320" s="127">
        <v>15794.7</v>
      </c>
      <c r="S320" s="127">
        <v>8.355184889</v>
      </c>
      <c r="T320" s="71"/>
      <c r="U320" s="71"/>
      <c r="V320" s="71"/>
      <c r="W320" s="104">
        <f t="shared" si="50"/>
        <v>293.7279661148887</v>
      </c>
      <c r="X320" s="104">
        <f t="shared" si="51"/>
        <v>173.09239382478003</v>
      </c>
    </row>
    <row r="321" spans="1:24" ht="15" customHeight="1" hidden="1">
      <c r="A321" s="43"/>
      <c r="B321" s="44" t="s">
        <v>113</v>
      </c>
      <c r="C321" s="44"/>
      <c r="D321" s="44"/>
      <c r="E321" s="60"/>
      <c r="F321" s="60"/>
      <c r="G321" s="60"/>
      <c r="H321" s="60"/>
      <c r="I321" s="60"/>
      <c r="J321" s="60"/>
      <c r="K321" s="60"/>
      <c r="L321" s="124"/>
      <c r="M321" s="124"/>
      <c r="N321" s="124">
        <v>18784</v>
      </c>
      <c r="O321" s="120">
        <v>25591</v>
      </c>
      <c r="P321" s="121">
        <v>3.75833</v>
      </c>
      <c r="Q321" s="120">
        <f t="shared" si="58"/>
        <v>96179.42303</v>
      </c>
      <c r="R321" s="127">
        <v>15794.7</v>
      </c>
      <c r="S321" s="127">
        <v>8.355184889</v>
      </c>
      <c r="T321" s="71"/>
      <c r="U321" s="71"/>
      <c r="V321" s="71"/>
      <c r="W321" s="104">
        <f t="shared" si="50"/>
        <v>234.58453892725763</v>
      </c>
      <c r="X321" s="104">
        <f t="shared" si="51"/>
        <v>138.23947353150285</v>
      </c>
    </row>
    <row r="322" spans="1:24" ht="15" customHeight="1" hidden="1">
      <c r="A322" s="43"/>
      <c r="B322" s="44" t="s">
        <v>114</v>
      </c>
      <c r="C322" s="44"/>
      <c r="D322" s="44"/>
      <c r="E322" s="61"/>
      <c r="F322" s="61"/>
      <c r="G322" s="61"/>
      <c r="H322" s="60"/>
      <c r="I322" s="60"/>
      <c r="J322" s="60"/>
      <c r="K322" s="60"/>
      <c r="L322" s="124"/>
      <c r="M322" s="124"/>
      <c r="N322" s="124">
        <v>43600.6</v>
      </c>
      <c r="O322" s="120">
        <v>27000</v>
      </c>
      <c r="P322" s="121">
        <v>3.19572</v>
      </c>
      <c r="Q322" s="120">
        <f t="shared" si="58"/>
        <v>86284.44</v>
      </c>
      <c r="R322" s="127">
        <v>15794.7</v>
      </c>
      <c r="S322" s="127">
        <v>8.355184889</v>
      </c>
      <c r="T322" s="71"/>
      <c r="U322" s="71"/>
      <c r="V322" s="71"/>
      <c r="W322" s="104">
        <f t="shared" si="50"/>
        <v>247.50039275667055</v>
      </c>
      <c r="X322" s="104">
        <f t="shared" si="51"/>
        <v>145.85072038414197</v>
      </c>
    </row>
    <row r="323" spans="1:24" ht="15" customHeight="1" hidden="1">
      <c r="A323" s="43"/>
      <c r="B323" s="44" t="s">
        <v>115</v>
      </c>
      <c r="C323" s="44"/>
      <c r="D323" s="44"/>
      <c r="E323" s="61">
        <v>56.724</v>
      </c>
      <c r="F323" s="61">
        <v>4.528</v>
      </c>
      <c r="G323" s="61">
        <f>F323+E323</f>
        <v>61.251999999999995</v>
      </c>
      <c r="H323" s="60">
        <v>152012.33</v>
      </c>
      <c r="I323" s="120">
        <v>42</v>
      </c>
      <c r="J323" s="120">
        <v>190.44</v>
      </c>
      <c r="K323" s="120">
        <f>2167.76+9829.43</f>
        <v>11997.19</v>
      </c>
      <c r="L323" s="124"/>
      <c r="M323" s="124"/>
      <c r="N323" s="124"/>
      <c r="O323" s="124">
        <v>26956</v>
      </c>
      <c r="P323" s="78"/>
      <c r="Q323" s="120">
        <f t="shared" si="58"/>
        <v>0</v>
      </c>
      <c r="R323" s="71"/>
      <c r="S323" s="71"/>
      <c r="T323" s="71"/>
      <c r="U323" s="71"/>
      <c r="V323" s="71"/>
      <c r="W323" s="104">
        <f t="shared" si="50"/>
        <v>247.09705878328933</v>
      </c>
      <c r="X323" s="104">
        <f t="shared" si="51"/>
        <v>145.61303772870116</v>
      </c>
    </row>
    <row r="324" spans="1:24" ht="15" customHeight="1" hidden="1">
      <c r="A324" s="43"/>
      <c r="B324" s="44" t="s">
        <v>116</v>
      </c>
      <c r="C324" s="44"/>
      <c r="D324" s="44"/>
      <c r="E324" s="61">
        <v>69.406</v>
      </c>
      <c r="F324" s="61">
        <v>5.788</v>
      </c>
      <c r="G324" s="61">
        <f>F324+E324</f>
        <v>75.194</v>
      </c>
      <c r="H324" s="60">
        <v>186610.51</v>
      </c>
      <c r="I324" s="120">
        <v>31</v>
      </c>
      <c r="J324" s="120">
        <v>200.44</v>
      </c>
      <c r="K324" s="120">
        <f>1600.02+10345.46</f>
        <v>11945.48</v>
      </c>
      <c r="L324" s="124"/>
      <c r="M324" s="124"/>
      <c r="N324" s="124"/>
      <c r="O324" s="124">
        <v>32012</v>
      </c>
      <c r="P324" s="78"/>
      <c r="Q324" s="120">
        <f t="shared" si="58"/>
        <v>0</v>
      </c>
      <c r="R324" s="71"/>
      <c r="S324" s="71"/>
      <c r="T324" s="71"/>
      <c r="U324" s="71"/>
      <c r="V324" s="71"/>
      <c r="W324" s="104">
        <f t="shared" si="50"/>
        <v>293.4437989972792</v>
      </c>
      <c r="X324" s="104">
        <f t="shared" si="51"/>
        <v>172.9249355902649</v>
      </c>
    </row>
    <row r="325" spans="1:24" ht="15" customHeight="1">
      <c r="A325" s="43"/>
      <c r="B325" s="118" t="s">
        <v>117</v>
      </c>
      <c r="C325" s="58">
        <f aca="true" t="shared" si="59" ref="C325:K325">C324+C323+C322+C321+C320+C319+C314+C313+C312+C311+C310+C309</f>
        <v>0</v>
      </c>
      <c r="D325" s="58">
        <f t="shared" si="59"/>
        <v>0</v>
      </c>
      <c r="E325" s="59">
        <f t="shared" si="59"/>
        <v>126.13</v>
      </c>
      <c r="F325" s="59">
        <f t="shared" si="59"/>
        <v>10.315999999999999</v>
      </c>
      <c r="G325" s="59">
        <f t="shared" si="59"/>
        <v>136.446</v>
      </c>
      <c r="H325" s="58">
        <f t="shared" si="59"/>
        <v>338622.83999999997</v>
      </c>
      <c r="I325" s="58">
        <f t="shared" si="59"/>
        <v>73</v>
      </c>
      <c r="J325" s="58">
        <f t="shared" si="59"/>
        <v>390.88</v>
      </c>
      <c r="K325" s="58">
        <f t="shared" si="59"/>
        <v>23942.67</v>
      </c>
      <c r="L325" s="58"/>
      <c r="M325" s="58"/>
      <c r="N325" s="124"/>
      <c r="O325" s="79">
        <v>28296</v>
      </c>
      <c r="P325" s="78"/>
      <c r="Q325" s="58"/>
      <c r="R325" s="71"/>
      <c r="S325" s="71"/>
      <c r="T325" s="71"/>
      <c r="U325" s="71"/>
      <c r="V325" s="71">
        <v>60</v>
      </c>
      <c r="W325" s="104">
        <f t="shared" si="50"/>
        <v>259.38041160899076</v>
      </c>
      <c r="X325" s="104">
        <f t="shared" si="51"/>
        <v>152.8515549625808</v>
      </c>
    </row>
    <row r="326" spans="1:24" ht="15" customHeight="1">
      <c r="A326" s="42">
        <v>15</v>
      </c>
      <c r="B326" s="221" t="s">
        <v>48</v>
      </c>
      <c r="C326" s="221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71"/>
      <c r="S326" s="71"/>
      <c r="T326" s="71" t="s">
        <v>79</v>
      </c>
      <c r="U326" s="71"/>
      <c r="V326" s="71"/>
      <c r="W326" s="104"/>
      <c r="X326" s="104"/>
    </row>
    <row r="327" spans="1:24" ht="15" customHeight="1" hidden="1">
      <c r="A327" s="43"/>
      <c r="B327" s="199" t="s">
        <v>80</v>
      </c>
      <c r="C327" s="199" t="s">
        <v>81</v>
      </c>
      <c r="D327" s="199"/>
      <c r="E327" s="199"/>
      <c r="F327" s="199"/>
      <c r="G327" s="199"/>
      <c r="H327" s="199"/>
      <c r="I327" s="118" t="s">
        <v>82</v>
      </c>
      <c r="J327" s="118" t="s">
        <v>83</v>
      </c>
      <c r="K327" s="118" t="s">
        <v>84</v>
      </c>
      <c r="L327" s="199" t="s">
        <v>85</v>
      </c>
      <c r="M327" s="199" t="s">
        <v>86</v>
      </c>
      <c r="N327" s="199" t="s">
        <v>87</v>
      </c>
      <c r="O327" s="199" t="s">
        <v>88</v>
      </c>
      <c r="P327" s="200" t="s">
        <v>89</v>
      </c>
      <c r="Q327" s="199" t="s">
        <v>90</v>
      </c>
      <c r="R327" s="71"/>
      <c r="S327" s="71"/>
      <c r="T327" s="74">
        <v>5561284</v>
      </c>
      <c r="U327" s="71"/>
      <c r="V327" s="71"/>
      <c r="W327" s="104" t="e">
        <f t="shared" si="50"/>
        <v>#VALUE!</v>
      </c>
      <c r="X327" s="104" t="e">
        <f t="shared" si="51"/>
        <v>#VALUE!</v>
      </c>
    </row>
    <row r="328" spans="1:24" ht="15" customHeight="1" hidden="1">
      <c r="A328" s="43"/>
      <c r="B328" s="199"/>
      <c r="C328" s="199">
        <v>2022.64</v>
      </c>
      <c r="D328" s="199"/>
      <c r="E328" s="199"/>
      <c r="F328" s="199"/>
      <c r="G328" s="199"/>
      <c r="H328" s="199"/>
      <c r="I328" s="126">
        <v>25.35</v>
      </c>
      <c r="J328" s="126">
        <f>I328*1.18</f>
        <v>29.913</v>
      </c>
      <c r="K328" s="226">
        <f>29.913+19.14</f>
        <v>49.053</v>
      </c>
      <c r="L328" s="199"/>
      <c r="M328" s="199"/>
      <c r="N328" s="199"/>
      <c r="O328" s="199"/>
      <c r="P328" s="200"/>
      <c r="Q328" s="199"/>
      <c r="R328" s="71"/>
      <c r="S328" s="71"/>
      <c r="T328" s="74">
        <v>8050903</v>
      </c>
      <c r="U328" s="71"/>
      <c r="V328" s="71"/>
      <c r="W328" s="104">
        <f t="shared" si="50"/>
        <v>0</v>
      </c>
      <c r="X328" s="104">
        <f t="shared" si="51"/>
        <v>0</v>
      </c>
    </row>
    <row r="329" spans="1:24" ht="15" customHeight="1" hidden="1">
      <c r="A329" s="43"/>
      <c r="B329" s="199"/>
      <c r="C329" s="199" t="s">
        <v>93</v>
      </c>
      <c r="D329" s="199"/>
      <c r="E329" s="199"/>
      <c r="F329" s="199"/>
      <c r="G329" s="199"/>
      <c r="H329" s="199"/>
      <c r="I329" s="118" t="s">
        <v>94</v>
      </c>
      <c r="J329" s="118" t="s">
        <v>83</v>
      </c>
      <c r="K329" s="226"/>
      <c r="L329" s="199"/>
      <c r="M329" s="199"/>
      <c r="N329" s="199"/>
      <c r="O329" s="199"/>
      <c r="P329" s="200"/>
      <c r="Q329" s="199"/>
      <c r="R329" s="71"/>
      <c r="S329" s="71"/>
      <c r="T329" s="74">
        <v>5568176</v>
      </c>
      <c r="U329" s="71"/>
      <c r="V329" s="71"/>
      <c r="W329" s="104">
        <f t="shared" si="50"/>
        <v>0</v>
      </c>
      <c r="X329" s="104">
        <f t="shared" si="51"/>
        <v>0</v>
      </c>
    </row>
    <row r="330" spans="1:24" ht="15" customHeight="1" hidden="1">
      <c r="A330" s="43"/>
      <c r="B330" s="199"/>
      <c r="C330" s="207">
        <f>C328*1.18</f>
        <v>2386.7152</v>
      </c>
      <c r="D330" s="207"/>
      <c r="E330" s="207"/>
      <c r="F330" s="207"/>
      <c r="G330" s="207"/>
      <c r="H330" s="207"/>
      <c r="I330" s="126">
        <v>16.22</v>
      </c>
      <c r="J330" s="126">
        <f>I330*1.18</f>
        <v>19.139599999999998</v>
      </c>
      <c r="K330" s="226"/>
      <c r="L330" s="199"/>
      <c r="M330" s="199"/>
      <c r="N330" s="199"/>
      <c r="O330" s="199"/>
      <c r="P330" s="200"/>
      <c r="Q330" s="199"/>
      <c r="R330" s="71"/>
      <c r="S330" s="71"/>
      <c r="T330" s="71" t="s">
        <v>95</v>
      </c>
      <c r="U330" s="71"/>
      <c r="V330" s="71"/>
      <c r="W330" s="104">
        <f t="shared" si="50"/>
        <v>0</v>
      </c>
      <c r="X330" s="104">
        <f t="shared" si="51"/>
        <v>0</v>
      </c>
    </row>
    <row r="331" spans="1:24" ht="45" customHeight="1" hidden="1">
      <c r="A331" s="43"/>
      <c r="B331" s="118" t="s">
        <v>96</v>
      </c>
      <c r="C331" s="118" t="s">
        <v>97</v>
      </c>
      <c r="D331" s="118" t="s">
        <v>98</v>
      </c>
      <c r="E331" s="118" t="s">
        <v>99</v>
      </c>
      <c r="F331" s="118" t="s">
        <v>100</v>
      </c>
      <c r="G331" s="118" t="s">
        <v>101</v>
      </c>
      <c r="H331" s="118" t="s">
        <v>90</v>
      </c>
      <c r="I331" s="118" t="s">
        <v>171</v>
      </c>
      <c r="J331" s="118" t="s">
        <v>102</v>
      </c>
      <c r="K331" s="118" t="s">
        <v>90</v>
      </c>
      <c r="L331" s="199"/>
      <c r="M331" s="199"/>
      <c r="N331" s="199"/>
      <c r="O331" s="199"/>
      <c r="P331" s="200"/>
      <c r="Q331" s="199"/>
      <c r="R331" s="71"/>
      <c r="S331" s="71"/>
      <c r="T331" s="74" t="s">
        <v>145</v>
      </c>
      <c r="U331" s="71"/>
      <c r="V331" s="71"/>
      <c r="W331" s="104">
        <f t="shared" si="50"/>
        <v>0</v>
      </c>
      <c r="X331" s="104">
        <f t="shared" si="51"/>
        <v>0</v>
      </c>
    </row>
    <row r="332" spans="1:24" ht="15" customHeight="1" hidden="1">
      <c r="A332" s="43"/>
      <c r="B332" s="44" t="s">
        <v>103</v>
      </c>
      <c r="C332" s="44"/>
      <c r="D332" s="44"/>
      <c r="E332" s="60"/>
      <c r="F332" s="60"/>
      <c r="G332" s="60"/>
      <c r="H332" s="60"/>
      <c r="I332" s="60"/>
      <c r="J332" s="60"/>
      <c r="K332" s="60"/>
      <c r="L332" s="120"/>
      <c r="M332" s="120"/>
      <c r="N332" s="120">
        <v>48610.2</v>
      </c>
      <c r="O332" s="120">
        <v>92018</v>
      </c>
      <c r="P332" s="121">
        <v>3.20931</v>
      </c>
      <c r="Q332" s="120">
        <f aca="true" t="shared" si="60" ref="Q332:Q337">P332*O332</f>
        <v>295314.28758</v>
      </c>
      <c r="R332" s="127">
        <v>15794.7</v>
      </c>
      <c r="S332" s="127">
        <v>8.549173158</v>
      </c>
      <c r="T332" s="74" t="s">
        <v>146</v>
      </c>
      <c r="U332" s="71"/>
      <c r="V332" s="71"/>
      <c r="W332" s="104">
        <f t="shared" si="50"/>
        <v>843.4996718771597</v>
      </c>
      <c r="X332" s="104">
        <f t="shared" si="51"/>
        <v>497.0700588262213</v>
      </c>
    </row>
    <row r="333" spans="1:24" ht="15" customHeight="1" hidden="1">
      <c r="A333" s="43"/>
      <c r="B333" s="44" t="s">
        <v>104</v>
      </c>
      <c r="C333" s="44"/>
      <c r="D333" s="44"/>
      <c r="E333" s="60"/>
      <c r="F333" s="60"/>
      <c r="G333" s="60"/>
      <c r="H333" s="60"/>
      <c r="I333" s="60"/>
      <c r="J333" s="60"/>
      <c r="K333" s="60"/>
      <c r="L333" s="124"/>
      <c r="M333" s="124"/>
      <c r="N333" s="124">
        <v>44952.5</v>
      </c>
      <c r="O333" s="120">
        <v>90190</v>
      </c>
      <c r="P333" s="121">
        <v>3.39007</v>
      </c>
      <c r="Q333" s="120">
        <f t="shared" si="60"/>
        <v>305750.4133</v>
      </c>
      <c r="R333" s="127">
        <v>15794.7</v>
      </c>
      <c r="S333" s="127">
        <v>8.549173158</v>
      </c>
      <c r="T333" s="71"/>
      <c r="U333" s="71"/>
      <c r="V333" s="71"/>
      <c r="W333" s="104">
        <f t="shared" si="50"/>
        <v>826.7429786194118</v>
      </c>
      <c r="X333" s="104">
        <f t="shared" si="51"/>
        <v>487.19542486836167</v>
      </c>
    </row>
    <row r="334" spans="1:24" ht="15" customHeight="1" hidden="1">
      <c r="A334" s="43"/>
      <c r="B334" s="44" t="s">
        <v>105</v>
      </c>
      <c r="C334" s="44"/>
      <c r="D334" s="44"/>
      <c r="E334" s="60"/>
      <c r="F334" s="60"/>
      <c r="G334" s="60"/>
      <c r="H334" s="60"/>
      <c r="I334" s="60"/>
      <c r="J334" s="60"/>
      <c r="K334" s="60"/>
      <c r="L334" s="124"/>
      <c r="M334" s="124"/>
      <c r="N334" s="124">
        <v>48796.5</v>
      </c>
      <c r="O334" s="120">
        <v>95328</v>
      </c>
      <c r="P334" s="121">
        <v>3.39864</v>
      </c>
      <c r="Q334" s="120">
        <f t="shared" si="60"/>
        <v>323985.55392</v>
      </c>
      <c r="R334" s="127">
        <v>15794.7</v>
      </c>
      <c r="S334" s="127">
        <v>8.549173158</v>
      </c>
      <c r="T334" s="71"/>
      <c r="U334" s="71"/>
      <c r="V334" s="71"/>
      <c r="W334" s="104">
        <f t="shared" si="50"/>
        <v>873.841386692885</v>
      </c>
      <c r="X334" s="104">
        <f t="shared" si="51"/>
        <v>514.9502767696106</v>
      </c>
    </row>
    <row r="335" spans="1:24" ht="15" customHeight="1" hidden="1">
      <c r="A335" s="43"/>
      <c r="B335" s="44" t="s">
        <v>106</v>
      </c>
      <c r="C335" s="44"/>
      <c r="D335" s="44"/>
      <c r="E335" s="60"/>
      <c r="F335" s="60"/>
      <c r="G335" s="60"/>
      <c r="H335" s="60"/>
      <c r="I335" s="60"/>
      <c r="J335" s="60"/>
      <c r="K335" s="60"/>
      <c r="L335" s="124"/>
      <c r="M335" s="124"/>
      <c r="N335" s="124">
        <v>37085.1</v>
      </c>
      <c r="O335" s="120">
        <v>78056</v>
      </c>
      <c r="P335" s="121">
        <v>3.31733</v>
      </c>
      <c r="Q335" s="120">
        <f t="shared" si="60"/>
        <v>258937.51048</v>
      </c>
      <c r="R335" s="127">
        <v>15794.7</v>
      </c>
      <c r="S335" s="127">
        <v>8.549173158</v>
      </c>
      <c r="T335" s="71"/>
      <c r="U335" s="71"/>
      <c r="V335" s="71"/>
      <c r="W335" s="104">
        <f t="shared" si="50"/>
        <v>715.5144687783214</v>
      </c>
      <c r="X335" s="104">
        <f t="shared" si="51"/>
        <v>421.6490307520217</v>
      </c>
    </row>
    <row r="336" spans="1:24" ht="15" customHeight="1" hidden="1">
      <c r="A336" s="43"/>
      <c r="B336" s="44" t="s">
        <v>107</v>
      </c>
      <c r="C336" s="44"/>
      <c r="D336" s="44"/>
      <c r="E336" s="60"/>
      <c r="F336" s="60"/>
      <c r="G336" s="60"/>
      <c r="H336" s="60"/>
      <c r="I336" s="60"/>
      <c r="J336" s="60"/>
      <c r="K336" s="60"/>
      <c r="L336" s="124"/>
      <c r="M336" s="124"/>
      <c r="N336" s="124">
        <v>16767.1</v>
      </c>
      <c r="O336" s="120">
        <v>97718</v>
      </c>
      <c r="P336" s="121">
        <v>3.40847</v>
      </c>
      <c r="Q336" s="120">
        <f t="shared" si="60"/>
        <v>333068.87146</v>
      </c>
      <c r="R336" s="127">
        <v>15794.7</v>
      </c>
      <c r="S336" s="127">
        <v>8.355184889</v>
      </c>
      <c r="T336" s="71"/>
      <c r="U336" s="71"/>
      <c r="V336" s="71"/>
      <c r="W336" s="104">
        <f t="shared" si="50"/>
        <v>895.7497547924569</v>
      </c>
      <c r="X336" s="104">
        <f t="shared" si="51"/>
        <v>527.8607664628735</v>
      </c>
    </row>
    <row r="337" spans="1:24" ht="15" customHeight="1" hidden="1">
      <c r="A337" s="43"/>
      <c r="B337" s="44" t="s">
        <v>108</v>
      </c>
      <c r="C337" s="44"/>
      <c r="D337" s="44"/>
      <c r="E337" s="60"/>
      <c r="F337" s="60"/>
      <c r="G337" s="60"/>
      <c r="H337" s="60"/>
      <c r="I337" s="60"/>
      <c r="J337" s="60"/>
      <c r="K337" s="60"/>
      <c r="L337" s="124"/>
      <c r="M337" s="124"/>
      <c r="N337" s="124">
        <v>17397.4</v>
      </c>
      <c r="O337" s="120">
        <v>107871</v>
      </c>
      <c r="P337" s="121">
        <v>3.44841</v>
      </c>
      <c r="Q337" s="120">
        <f t="shared" si="60"/>
        <v>371983.43511</v>
      </c>
      <c r="R337" s="127">
        <v>15794.7</v>
      </c>
      <c r="S337" s="127">
        <v>8.355184889</v>
      </c>
      <c r="T337" s="71"/>
      <c r="U337" s="71"/>
      <c r="V337" s="71"/>
      <c r="W337" s="104">
        <f t="shared" si="50"/>
        <v>988.8190691501782</v>
      </c>
      <c r="X337" s="104">
        <f t="shared" si="51"/>
        <v>582.7060392058437</v>
      </c>
    </row>
    <row r="338" spans="1:24" ht="15" customHeight="1" hidden="1">
      <c r="A338" s="43"/>
      <c r="B338" s="220" t="s">
        <v>109</v>
      </c>
      <c r="C338" s="220" t="s">
        <v>81</v>
      </c>
      <c r="D338" s="220"/>
      <c r="E338" s="220"/>
      <c r="F338" s="220"/>
      <c r="G338" s="220"/>
      <c r="H338" s="220"/>
      <c r="I338" s="122" t="s">
        <v>82</v>
      </c>
      <c r="J338" s="122" t="s">
        <v>83</v>
      </c>
      <c r="K338" s="122" t="s">
        <v>84</v>
      </c>
      <c r="L338" s="199"/>
      <c r="M338" s="199"/>
      <c r="N338" s="118"/>
      <c r="O338" s="222"/>
      <c r="P338" s="223"/>
      <c r="Q338" s="199"/>
      <c r="R338" s="71"/>
      <c r="S338" s="71"/>
      <c r="T338" s="71"/>
      <c r="U338" s="71"/>
      <c r="V338" s="71"/>
      <c r="W338" s="104">
        <f t="shared" si="50"/>
        <v>0</v>
      </c>
      <c r="X338" s="104">
        <f t="shared" si="51"/>
        <v>0</v>
      </c>
    </row>
    <row r="339" spans="1:24" ht="15" customHeight="1" hidden="1">
      <c r="A339" s="43"/>
      <c r="B339" s="220"/>
      <c r="C339" s="220">
        <v>2103.15</v>
      </c>
      <c r="D339" s="220"/>
      <c r="E339" s="220"/>
      <c r="F339" s="220"/>
      <c r="G339" s="220"/>
      <c r="H339" s="220"/>
      <c r="I339" s="49">
        <v>26.61</v>
      </c>
      <c r="J339" s="49">
        <f>I339*1.18</f>
        <v>31.3998</v>
      </c>
      <c r="K339" s="224">
        <f>J341+J339</f>
        <v>51.61319999999999</v>
      </c>
      <c r="L339" s="199"/>
      <c r="M339" s="199"/>
      <c r="N339" s="82"/>
      <c r="O339" s="222"/>
      <c r="P339" s="223"/>
      <c r="Q339" s="199"/>
      <c r="R339" s="71"/>
      <c r="S339" s="71"/>
      <c r="T339" s="71"/>
      <c r="U339" s="71"/>
      <c r="V339" s="71"/>
      <c r="W339" s="104">
        <f t="shared" si="50"/>
        <v>0</v>
      </c>
      <c r="X339" s="104">
        <f t="shared" si="51"/>
        <v>0</v>
      </c>
    </row>
    <row r="340" spans="1:24" ht="15" customHeight="1" hidden="1">
      <c r="A340" s="43"/>
      <c r="B340" s="220"/>
      <c r="C340" s="220" t="s">
        <v>93</v>
      </c>
      <c r="D340" s="220"/>
      <c r="E340" s="220"/>
      <c r="F340" s="220"/>
      <c r="G340" s="220"/>
      <c r="H340" s="220"/>
      <c r="I340" s="122" t="s">
        <v>110</v>
      </c>
      <c r="J340" s="122" t="s">
        <v>83</v>
      </c>
      <c r="K340" s="224"/>
      <c r="L340" s="199"/>
      <c r="M340" s="199"/>
      <c r="N340" s="126"/>
      <c r="O340" s="222"/>
      <c r="P340" s="223"/>
      <c r="Q340" s="199"/>
      <c r="R340" s="71"/>
      <c r="S340" s="71"/>
      <c r="T340" s="71"/>
      <c r="U340" s="71"/>
      <c r="V340" s="71"/>
      <c r="W340" s="104">
        <f t="shared" si="50"/>
        <v>0</v>
      </c>
      <c r="X340" s="104">
        <f t="shared" si="51"/>
        <v>0</v>
      </c>
    </row>
    <row r="341" spans="1:24" ht="15" customHeight="1" hidden="1">
      <c r="A341" s="43"/>
      <c r="B341" s="220"/>
      <c r="C341" s="225">
        <f>C339*1.18</f>
        <v>2481.717</v>
      </c>
      <c r="D341" s="225"/>
      <c r="E341" s="225"/>
      <c r="F341" s="225"/>
      <c r="G341" s="225"/>
      <c r="H341" s="225"/>
      <c r="I341" s="49">
        <v>17.13</v>
      </c>
      <c r="J341" s="49">
        <f>I341*1.18</f>
        <v>20.213399999999996</v>
      </c>
      <c r="K341" s="224"/>
      <c r="L341" s="199"/>
      <c r="M341" s="199"/>
      <c r="N341" s="126"/>
      <c r="O341" s="222"/>
      <c r="P341" s="223"/>
      <c r="Q341" s="199"/>
      <c r="R341" s="71"/>
      <c r="S341" s="71"/>
      <c r="T341" s="71"/>
      <c r="U341" s="71"/>
      <c r="V341" s="71"/>
      <c r="W341" s="104">
        <f t="shared" si="50"/>
        <v>0</v>
      </c>
      <c r="X341" s="104">
        <f t="shared" si="51"/>
        <v>0</v>
      </c>
    </row>
    <row r="342" spans="1:24" ht="15" customHeight="1" hidden="1">
      <c r="A342" s="43"/>
      <c r="B342" s="44" t="s">
        <v>111</v>
      </c>
      <c r="C342" s="44"/>
      <c r="D342" s="44"/>
      <c r="E342" s="60"/>
      <c r="F342" s="60"/>
      <c r="G342" s="60"/>
      <c r="H342" s="60"/>
      <c r="I342" s="60"/>
      <c r="J342" s="60"/>
      <c r="K342" s="60"/>
      <c r="L342" s="124"/>
      <c r="M342" s="124"/>
      <c r="N342" s="124">
        <v>18348.2</v>
      </c>
      <c r="O342" s="120">
        <v>124598</v>
      </c>
      <c r="P342" s="121">
        <v>4.06379</v>
      </c>
      <c r="Q342" s="120">
        <f aca="true" t="shared" si="61" ref="Q342:Q347">P342*O342</f>
        <v>506340.10642</v>
      </c>
      <c r="R342" s="127">
        <v>15794.7</v>
      </c>
      <c r="S342" s="127">
        <v>8.355184889</v>
      </c>
      <c r="T342" s="71"/>
      <c r="U342" s="71"/>
      <c r="V342" s="71"/>
      <c r="W342" s="104">
        <f t="shared" si="50"/>
        <v>1142.1501458035423</v>
      </c>
      <c r="X342" s="104">
        <f t="shared" si="51"/>
        <v>673.063261423086</v>
      </c>
    </row>
    <row r="343" spans="1:24" ht="15" customHeight="1" hidden="1">
      <c r="A343" s="43"/>
      <c r="B343" s="44" t="s">
        <v>112</v>
      </c>
      <c r="C343" s="44"/>
      <c r="D343" s="44"/>
      <c r="E343" s="60"/>
      <c r="F343" s="60"/>
      <c r="G343" s="60"/>
      <c r="H343" s="60"/>
      <c r="I343" s="60"/>
      <c r="J343" s="60"/>
      <c r="K343" s="60"/>
      <c r="L343" s="124"/>
      <c r="M343" s="124"/>
      <c r="N343" s="124">
        <v>17315.1</v>
      </c>
      <c r="O343" s="120">
        <v>124598</v>
      </c>
      <c r="P343" s="121">
        <v>4.14442</v>
      </c>
      <c r="Q343" s="120">
        <f t="shared" si="61"/>
        <v>516386.44316</v>
      </c>
      <c r="R343" s="127">
        <v>15794.7</v>
      </c>
      <c r="S343" s="127">
        <v>8.355184889</v>
      </c>
      <c r="T343" s="71"/>
      <c r="U343" s="71"/>
      <c r="V343" s="71"/>
      <c r="W343" s="104">
        <f t="shared" si="50"/>
        <v>1142.1501458035423</v>
      </c>
      <c r="X343" s="104">
        <f t="shared" si="51"/>
        <v>673.063261423086</v>
      </c>
    </row>
    <row r="344" spans="1:24" ht="15" customHeight="1" hidden="1">
      <c r="A344" s="43"/>
      <c r="B344" s="44" t="s">
        <v>113</v>
      </c>
      <c r="C344" s="44"/>
      <c r="D344" s="44"/>
      <c r="E344" s="60"/>
      <c r="F344" s="60"/>
      <c r="G344" s="60"/>
      <c r="H344" s="60"/>
      <c r="I344" s="60"/>
      <c r="J344" s="60"/>
      <c r="K344" s="60"/>
      <c r="L344" s="124"/>
      <c r="M344" s="124"/>
      <c r="N344" s="124">
        <v>18784</v>
      </c>
      <c r="O344" s="120">
        <v>99509</v>
      </c>
      <c r="P344" s="121">
        <v>3.75833</v>
      </c>
      <c r="Q344" s="120">
        <f t="shared" si="61"/>
        <v>373987.65997</v>
      </c>
      <c r="R344" s="127">
        <v>15794.7</v>
      </c>
      <c r="S344" s="127">
        <v>8.355184889</v>
      </c>
      <c r="T344" s="71"/>
      <c r="U344" s="71"/>
      <c r="V344" s="71"/>
      <c r="W344" s="104">
        <f t="shared" si="50"/>
        <v>912.1672808453159</v>
      </c>
      <c r="X344" s="104">
        <f t="shared" si="51"/>
        <v>537.5355309150216</v>
      </c>
    </row>
    <row r="345" spans="1:24" ht="15" customHeight="1" hidden="1">
      <c r="A345" s="43"/>
      <c r="B345" s="44" t="s">
        <v>114</v>
      </c>
      <c r="C345" s="44"/>
      <c r="D345" s="44"/>
      <c r="E345" s="60"/>
      <c r="F345" s="60"/>
      <c r="G345" s="60"/>
      <c r="H345" s="60"/>
      <c r="I345" s="60"/>
      <c r="J345" s="60"/>
      <c r="K345" s="60"/>
      <c r="L345" s="124"/>
      <c r="M345" s="124"/>
      <c r="N345" s="124">
        <v>43600.6</v>
      </c>
      <c r="O345" s="120">
        <v>100000</v>
      </c>
      <c r="P345" s="121">
        <v>3.19572</v>
      </c>
      <c r="Q345" s="120">
        <f t="shared" si="61"/>
        <v>319572</v>
      </c>
      <c r="R345" s="127">
        <v>15794.7</v>
      </c>
      <c r="S345" s="127">
        <v>8.355184889</v>
      </c>
      <c r="T345" s="71"/>
      <c r="U345" s="71"/>
      <c r="V345" s="71"/>
      <c r="W345" s="104">
        <f aca="true" t="shared" si="62" ref="W345:W408">O345*$W$456/$O$456</f>
        <v>916.668121321002</v>
      </c>
      <c r="X345" s="104">
        <f aca="true" t="shared" si="63" ref="X345:X408">O345*$X$456/$O$456</f>
        <v>540.1878532745999</v>
      </c>
    </row>
    <row r="346" spans="1:24" ht="15" customHeight="1" hidden="1">
      <c r="A346" s="43"/>
      <c r="B346" s="44" t="s">
        <v>115</v>
      </c>
      <c r="C346" s="44"/>
      <c r="D346" s="44"/>
      <c r="E346" s="61">
        <v>183.957</v>
      </c>
      <c r="F346" s="61">
        <v>14.686</v>
      </c>
      <c r="G346" s="61">
        <f>F346+E346</f>
        <v>198.643</v>
      </c>
      <c r="H346" s="60">
        <v>492974.86</v>
      </c>
      <c r="I346" s="120"/>
      <c r="J346" s="120">
        <v>740.53</v>
      </c>
      <c r="K346" s="120">
        <v>38221.41</v>
      </c>
      <c r="L346" s="124"/>
      <c r="M346" s="124"/>
      <c r="N346" s="124"/>
      <c r="O346" s="124">
        <v>88369</v>
      </c>
      <c r="P346" s="78"/>
      <c r="Q346" s="120">
        <f t="shared" si="61"/>
        <v>0</v>
      </c>
      <c r="R346" s="71"/>
      <c r="S346" s="71"/>
      <c r="T346" s="71"/>
      <c r="U346" s="71"/>
      <c r="V346" s="71"/>
      <c r="W346" s="104">
        <f t="shared" si="62"/>
        <v>810.0504521301564</v>
      </c>
      <c r="X346" s="104">
        <f t="shared" si="63"/>
        <v>477.3586040602312</v>
      </c>
    </row>
    <row r="347" spans="1:24" ht="15" customHeight="1" hidden="1">
      <c r="A347" s="43"/>
      <c r="B347" s="44" t="s">
        <v>116</v>
      </c>
      <c r="C347" s="44"/>
      <c r="D347" s="44"/>
      <c r="E347" s="61">
        <v>225.082</v>
      </c>
      <c r="F347" s="61">
        <v>18.772</v>
      </c>
      <c r="G347" s="61">
        <f>F347+E347</f>
        <v>243.85399999999998</v>
      </c>
      <c r="H347" s="60">
        <v>605176.5</v>
      </c>
      <c r="I347" s="120"/>
      <c r="J347" s="120">
        <v>779.41</v>
      </c>
      <c r="K347" s="120">
        <v>40227.94</v>
      </c>
      <c r="L347" s="124"/>
      <c r="M347" s="124"/>
      <c r="N347" s="124"/>
      <c r="O347" s="124">
        <v>113280</v>
      </c>
      <c r="P347" s="78"/>
      <c r="Q347" s="120">
        <f t="shared" si="61"/>
        <v>0</v>
      </c>
      <c r="R347" s="71"/>
      <c r="S347" s="71"/>
      <c r="T347" s="71"/>
      <c r="U347" s="71"/>
      <c r="V347" s="71"/>
      <c r="W347" s="104">
        <f t="shared" si="62"/>
        <v>1038.401647832431</v>
      </c>
      <c r="X347" s="104">
        <f t="shared" si="63"/>
        <v>611.9248001894667</v>
      </c>
    </row>
    <row r="348" spans="1:24" ht="15" customHeight="1">
      <c r="A348" s="43"/>
      <c r="B348" s="118" t="s">
        <v>117</v>
      </c>
      <c r="C348" s="58">
        <f aca="true" t="shared" si="64" ref="C348:J348">C347+C346+C345+C344+C343+C342+C337+C336+C335+C334+C333+C332</f>
        <v>0</v>
      </c>
      <c r="D348" s="58">
        <f t="shared" si="64"/>
        <v>0</v>
      </c>
      <c r="E348" s="59">
        <f t="shared" si="64"/>
        <v>409.039</v>
      </c>
      <c r="F348" s="59">
        <f t="shared" si="64"/>
        <v>33.458</v>
      </c>
      <c r="G348" s="59">
        <f t="shared" si="64"/>
        <v>442.49699999999996</v>
      </c>
      <c r="H348" s="58">
        <f>H347+H346+H345+H344+H343+H342+H337+H336+H335+H334+H333+H332</f>
        <v>1098151.3599999999</v>
      </c>
      <c r="I348" s="58">
        <f t="shared" si="64"/>
        <v>0</v>
      </c>
      <c r="J348" s="58">
        <f t="shared" si="64"/>
        <v>1519.94</v>
      </c>
      <c r="K348" s="58">
        <f>K347+K346+K345+K344+K343+K342+K337+K336+K335+K334+K333+K332</f>
        <v>78449.35</v>
      </c>
      <c r="L348" s="58"/>
      <c r="M348" s="58"/>
      <c r="N348" s="124"/>
      <c r="O348" s="79">
        <v>95328</v>
      </c>
      <c r="P348" s="78"/>
      <c r="Q348" s="58"/>
      <c r="R348" s="71"/>
      <c r="S348" s="71"/>
      <c r="T348" s="71"/>
      <c r="U348" s="71"/>
      <c r="V348" s="71">
        <v>220</v>
      </c>
      <c r="W348" s="104">
        <f t="shared" si="62"/>
        <v>873.841386692885</v>
      </c>
      <c r="X348" s="104">
        <f t="shared" si="63"/>
        <v>514.9502767696106</v>
      </c>
    </row>
    <row r="349" spans="1:24" ht="15" customHeight="1">
      <c r="A349" s="42">
        <v>16</v>
      </c>
      <c r="B349" s="211" t="s">
        <v>168</v>
      </c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2"/>
      <c r="O349" s="212"/>
      <c r="P349" s="212"/>
      <c r="Q349" s="213"/>
      <c r="R349" s="71"/>
      <c r="S349" s="71"/>
      <c r="T349" s="71" t="s">
        <v>79</v>
      </c>
      <c r="U349" s="71"/>
      <c r="V349" s="71"/>
      <c r="W349" s="104"/>
      <c r="X349" s="104"/>
    </row>
    <row r="350" spans="1:24" ht="15" customHeight="1" hidden="1">
      <c r="A350" s="43"/>
      <c r="B350" s="184" t="s">
        <v>80</v>
      </c>
      <c r="C350" s="181" t="s">
        <v>81</v>
      </c>
      <c r="D350" s="182"/>
      <c r="E350" s="182"/>
      <c r="F350" s="182"/>
      <c r="G350" s="182"/>
      <c r="H350" s="183"/>
      <c r="I350" s="118" t="s">
        <v>82</v>
      </c>
      <c r="J350" s="118" t="s">
        <v>83</v>
      </c>
      <c r="K350" s="118" t="s">
        <v>84</v>
      </c>
      <c r="L350" s="184" t="s">
        <v>85</v>
      </c>
      <c r="M350" s="184" t="s">
        <v>86</v>
      </c>
      <c r="N350" s="184" t="s">
        <v>87</v>
      </c>
      <c r="O350" s="184" t="s">
        <v>88</v>
      </c>
      <c r="P350" s="214" t="s">
        <v>89</v>
      </c>
      <c r="Q350" s="184" t="s">
        <v>90</v>
      </c>
      <c r="R350" s="71"/>
      <c r="S350" s="71"/>
      <c r="T350" s="74">
        <v>5459078</v>
      </c>
      <c r="U350" s="71"/>
      <c r="V350" s="71"/>
      <c r="W350" s="104" t="e">
        <f t="shared" si="62"/>
        <v>#VALUE!</v>
      </c>
      <c r="X350" s="104" t="e">
        <f t="shared" si="63"/>
        <v>#VALUE!</v>
      </c>
    </row>
    <row r="351" spans="1:24" ht="15" customHeight="1" hidden="1">
      <c r="A351" s="43"/>
      <c r="B351" s="185"/>
      <c r="C351" s="181">
        <v>2022.64</v>
      </c>
      <c r="D351" s="182"/>
      <c r="E351" s="182"/>
      <c r="F351" s="182"/>
      <c r="G351" s="182"/>
      <c r="H351" s="183"/>
      <c r="I351" s="126">
        <v>25.35</v>
      </c>
      <c r="J351" s="126">
        <v>29.913</v>
      </c>
      <c r="K351" s="196">
        <v>49.053</v>
      </c>
      <c r="L351" s="185"/>
      <c r="M351" s="185"/>
      <c r="N351" s="185"/>
      <c r="O351" s="185"/>
      <c r="P351" s="215"/>
      <c r="Q351" s="185"/>
      <c r="R351" s="71"/>
      <c r="S351" s="71"/>
      <c r="T351" s="74">
        <v>7738605</v>
      </c>
      <c r="U351" s="71"/>
      <c r="V351" s="71"/>
      <c r="W351" s="104">
        <f t="shared" si="62"/>
        <v>0</v>
      </c>
      <c r="X351" s="104">
        <f t="shared" si="63"/>
        <v>0</v>
      </c>
    </row>
    <row r="352" spans="1:24" ht="15" customHeight="1" hidden="1">
      <c r="A352" s="43"/>
      <c r="B352" s="185"/>
      <c r="C352" s="181" t="s">
        <v>93</v>
      </c>
      <c r="D352" s="182"/>
      <c r="E352" s="182"/>
      <c r="F352" s="182"/>
      <c r="G352" s="182"/>
      <c r="H352" s="183"/>
      <c r="I352" s="118" t="s">
        <v>94</v>
      </c>
      <c r="J352" s="118" t="s">
        <v>83</v>
      </c>
      <c r="K352" s="197"/>
      <c r="L352" s="185"/>
      <c r="M352" s="185"/>
      <c r="N352" s="185"/>
      <c r="O352" s="185"/>
      <c r="P352" s="215"/>
      <c r="Q352" s="185"/>
      <c r="R352" s="71"/>
      <c r="S352" s="71"/>
      <c r="T352" s="74">
        <v>7738364</v>
      </c>
      <c r="U352" s="71"/>
      <c r="V352" s="71"/>
      <c r="W352" s="104">
        <f t="shared" si="62"/>
        <v>0</v>
      </c>
      <c r="X352" s="104">
        <f t="shared" si="63"/>
        <v>0</v>
      </c>
    </row>
    <row r="353" spans="1:24" ht="15" customHeight="1" hidden="1">
      <c r="A353" s="43"/>
      <c r="B353" s="186"/>
      <c r="C353" s="187">
        <v>2386.7152</v>
      </c>
      <c r="D353" s="188"/>
      <c r="E353" s="188"/>
      <c r="F353" s="188"/>
      <c r="G353" s="188"/>
      <c r="H353" s="189"/>
      <c r="I353" s="126">
        <v>16.22</v>
      </c>
      <c r="J353" s="126">
        <v>19.139599999999998</v>
      </c>
      <c r="K353" s="198"/>
      <c r="L353" s="185"/>
      <c r="M353" s="185"/>
      <c r="N353" s="185"/>
      <c r="O353" s="185"/>
      <c r="P353" s="215"/>
      <c r="Q353" s="185"/>
      <c r="R353" s="71"/>
      <c r="S353" s="71"/>
      <c r="T353" s="74">
        <v>8032389</v>
      </c>
      <c r="U353" s="71"/>
      <c r="V353" s="71"/>
      <c r="W353" s="104">
        <f t="shared" si="62"/>
        <v>0</v>
      </c>
      <c r="X353" s="104">
        <f t="shared" si="63"/>
        <v>0</v>
      </c>
    </row>
    <row r="354" spans="1:24" ht="45" customHeight="1" hidden="1">
      <c r="A354" s="43"/>
      <c r="B354" s="118" t="s">
        <v>96</v>
      </c>
      <c r="C354" s="118" t="s">
        <v>97</v>
      </c>
      <c r="D354" s="118" t="s">
        <v>98</v>
      </c>
      <c r="E354" s="118" t="s">
        <v>99</v>
      </c>
      <c r="F354" s="118" t="s">
        <v>100</v>
      </c>
      <c r="G354" s="118" t="s">
        <v>101</v>
      </c>
      <c r="H354" s="118" t="s">
        <v>90</v>
      </c>
      <c r="I354" s="118" t="s">
        <v>171</v>
      </c>
      <c r="J354" s="118" t="s">
        <v>102</v>
      </c>
      <c r="K354" s="118" t="s">
        <v>90</v>
      </c>
      <c r="L354" s="186"/>
      <c r="M354" s="186"/>
      <c r="N354" s="186"/>
      <c r="O354" s="186"/>
      <c r="P354" s="216"/>
      <c r="Q354" s="186"/>
      <c r="R354" s="71"/>
      <c r="S354" s="71"/>
      <c r="T354" s="74">
        <v>7738653</v>
      </c>
      <c r="U354" s="71"/>
      <c r="V354" s="71"/>
      <c r="W354" s="104">
        <f t="shared" si="62"/>
        <v>0</v>
      </c>
      <c r="X354" s="104">
        <f t="shared" si="63"/>
        <v>0</v>
      </c>
    </row>
    <row r="355" spans="1:24" ht="15" customHeight="1" hidden="1">
      <c r="A355" s="43"/>
      <c r="B355" s="44" t="s">
        <v>103</v>
      </c>
      <c r="C355" s="50"/>
      <c r="D355" s="50"/>
      <c r="E355" s="62">
        <v>20.616</v>
      </c>
      <c r="F355" s="62">
        <v>0.943</v>
      </c>
      <c r="G355" s="62">
        <v>21.559</v>
      </c>
      <c r="H355" s="60">
        <v>51455.192996800004</v>
      </c>
      <c r="I355" s="120"/>
      <c r="J355" s="120">
        <v>41.7</v>
      </c>
      <c r="K355" s="120">
        <v>2045.55</v>
      </c>
      <c r="L355" s="124"/>
      <c r="M355" s="124"/>
      <c r="N355" s="124"/>
      <c r="O355" s="120">
        <v>11077</v>
      </c>
      <c r="P355" s="121">
        <v>3.20931</v>
      </c>
      <c r="Q355" s="120">
        <f aca="true" t="shared" si="65" ref="Q355:Q360">P355*O355</f>
        <v>35549.52687</v>
      </c>
      <c r="R355" s="71"/>
      <c r="S355" s="71"/>
      <c r="T355" s="71"/>
      <c r="U355" s="71"/>
      <c r="V355" s="71"/>
      <c r="W355" s="104">
        <f t="shared" si="62"/>
        <v>101.53932779872741</v>
      </c>
      <c r="X355" s="104">
        <f t="shared" si="63"/>
        <v>59.83660850722743</v>
      </c>
    </row>
    <row r="356" spans="1:24" ht="15" customHeight="1" hidden="1">
      <c r="A356" s="43"/>
      <c r="B356" s="44" t="s">
        <v>104</v>
      </c>
      <c r="C356" s="50"/>
      <c r="D356" s="50"/>
      <c r="E356" s="67">
        <v>17.305</v>
      </c>
      <c r="F356" s="67">
        <v>0.887</v>
      </c>
      <c r="G356" s="62">
        <v>18.192</v>
      </c>
      <c r="H356" s="60">
        <v>43419.13</v>
      </c>
      <c r="I356" s="120"/>
      <c r="J356" s="120">
        <v>41.78</v>
      </c>
      <c r="K356" s="120">
        <v>2049.43</v>
      </c>
      <c r="L356" s="124"/>
      <c r="M356" s="124"/>
      <c r="N356" s="124"/>
      <c r="O356" s="120">
        <v>10705</v>
      </c>
      <c r="P356" s="121">
        <v>3.39007</v>
      </c>
      <c r="Q356" s="120">
        <f t="shared" si="65"/>
        <v>36290.69935</v>
      </c>
      <c r="R356" s="71"/>
      <c r="S356" s="71"/>
      <c r="T356" s="71"/>
      <c r="U356" s="71"/>
      <c r="V356" s="71"/>
      <c r="W356" s="104">
        <f t="shared" si="62"/>
        <v>98.12932238741328</v>
      </c>
      <c r="X356" s="104">
        <f t="shared" si="63"/>
        <v>57.82710969304592</v>
      </c>
    </row>
    <row r="357" spans="1:24" ht="15" customHeight="1" hidden="1">
      <c r="A357" s="43"/>
      <c r="B357" s="44" t="s">
        <v>105</v>
      </c>
      <c r="C357" s="50"/>
      <c r="D357" s="50"/>
      <c r="E357" s="67">
        <v>22.469</v>
      </c>
      <c r="F357" s="67">
        <v>1.027</v>
      </c>
      <c r="G357" s="62">
        <v>23.496000000000002</v>
      </c>
      <c r="H357" s="60">
        <v>56078.26</v>
      </c>
      <c r="I357" s="120"/>
      <c r="J357" s="120">
        <v>49.12</v>
      </c>
      <c r="K357" s="120">
        <v>2409.51</v>
      </c>
      <c r="L357" s="124"/>
      <c r="M357" s="124"/>
      <c r="N357" s="124"/>
      <c r="O357" s="120">
        <v>10647</v>
      </c>
      <c r="P357" s="121">
        <v>3.39864</v>
      </c>
      <c r="Q357" s="120">
        <f t="shared" si="65"/>
        <v>36185.32008</v>
      </c>
      <c r="R357" s="71"/>
      <c r="S357" s="71"/>
      <c r="T357" s="71"/>
      <c r="U357" s="71"/>
      <c r="V357" s="71"/>
      <c r="W357" s="104">
        <f t="shared" si="62"/>
        <v>97.59765487704709</v>
      </c>
      <c r="X357" s="104">
        <f t="shared" si="63"/>
        <v>57.51380073814665</v>
      </c>
    </row>
    <row r="358" spans="1:24" ht="15" customHeight="1" hidden="1">
      <c r="A358" s="43"/>
      <c r="B358" s="44" t="s">
        <v>106</v>
      </c>
      <c r="C358" s="50"/>
      <c r="D358" s="50"/>
      <c r="E358" s="67">
        <v>7.665</v>
      </c>
      <c r="F358" s="67">
        <v>1.3</v>
      </c>
      <c r="G358" s="62">
        <v>8.965</v>
      </c>
      <c r="H358" s="60">
        <v>21396.94</v>
      </c>
      <c r="I358" s="120"/>
      <c r="J358" s="120">
        <v>59.24</v>
      </c>
      <c r="K358" s="120">
        <v>2905.78</v>
      </c>
      <c r="L358" s="124"/>
      <c r="M358" s="124"/>
      <c r="N358" s="124"/>
      <c r="O358" s="120">
        <v>8554</v>
      </c>
      <c r="P358" s="121">
        <v>3.31733</v>
      </c>
      <c r="Q358" s="120">
        <f t="shared" si="65"/>
        <v>28376.44082</v>
      </c>
      <c r="R358" s="71"/>
      <c r="S358" s="71"/>
      <c r="T358" s="71"/>
      <c r="U358" s="71"/>
      <c r="V358" s="71"/>
      <c r="W358" s="104">
        <f t="shared" si="62"/>
        <v>78.41179109779851</v>
      </c>
      <c r="X358" s="104">
        <f t="shared" si="63"/>
        <v>46.20766896910928</v>
      </c>
    </row>
    <row r="359" spans="1:24" ht="15" customHeight="1" hidden="1">
      <c r="A359" s="43"/>
      <c r="B359" s="44" t="s">
        <v>107</v>
      </c>
      <c r="C359" s="50"/>
      <c r="D359" s="50"/>
      <c r="E359" s="60"/>
      <c r="F359" s="67">
        <v>1.384</v>
      </c>
      <c r="G359" s="62">
        <v>1.384</v>
      </c>
      <c r="H359" s="60">
        <v>3303.21</v>
      </c>
      <c r="I359" s="120"/>
      <c r="J359" s="120">
        <v>80.99</v>
      </c>
      <c r="K359" s="120">
        <v>3972.42</v>
      </c>
      <c r="L359" s="124"/>
      <c r="M359" s="124"/>
      <c r="N359" s="124"/>
      <c r="O359" s="120">
        <v>8504</v>
      </c>
      <c r="P359" s="121">
        <v>3.40847</v>
      </c>
      <c r="Q359" s="120">
        <f t="shared" si="65"/>
        <v>28985.62888</v>
      </c>
      <c r="R359" s="71"/>
      <c r="S359" s="71"/>
      <c r="T359" s="71"/>
      <c r="U359" s="71"/>
      <c r="V359" s="71"/>
      <c r="W359" s="104">
        <f t="shared" si="62"/>
        <v>77.95345703713802</v>
      </c>
      <c r="X359" s="104">
        <f t="shared" si="63"/>
        <v>45.93757504247198</v>
      </c>
    </row>
    <row r="360" spans="1:24" ht="15" customHeight="1" hidden="1">
      <c r="A360" s="43"/>
      <c r="B360" s="44" t="s">
        <v>108</v>
      </c>
      <c r="C360" s="50"/>
      <c r="D360" s="50"/>
      <c r="E360" s="60"/>
      <c r="F360" s="67">
        <v>1.186</v>
      </c>
      <c r="G360" s="62">
        <v>1.186</v>
      </c>
      <c r="H360" s="60">
        <v>2830.64</v>
      </c>
      <c r="I360" s="120"/>
      <c r="J360" s="120">
        <v>67.91</v>
      </c>
      <c r="K360" s="120">
        <v>3330.88</v>
      </c>
      <c r="L360" s="124"/>
      <c r="M360" s="124"/>
      <c r="N360" s="124"/>
      <c r="O360" s="120">
        <v>8511</v>
      </c>
      <c r="P360" s="121">
        <v>3.44841</v>
      </c>
      <c r="Q360" s="120">
        <f t="shared" si="65"/>
        <v>29349.41751</v>
      </c>
      <c r="R360" s="71"/>
      <c r="S360" s="71"/>
      <c r="T360" s="71"/>
      <c r="U360" s="71"/>
      <c r="V360" s="71"/>
      <c r="W360" s="104">
        <f t="shared" si="62"/>
        <v>78.01762380563049</v>
      </c>
      <c r="X360" s="104">
        <f t="shared" si="63"/>
        <v>45.975388192201194</v>
      </c>
    </row>
    <row r="361" spans="1:24" ht="15" customHeight="1" hidden="1">
      <c r="A361" s="43"/>
      <c r="B361" s="208" t="s">
        <v>109</v>
      </c>
      <c r="C361" s="190" t="s">
        <v>81</v>
      </c>
      <c r="D361" s="191"/>
      <c r="E361" s="191"/>
      <c r="F361" s="191"/>
      <c r="G361" s="191"/>
      <c r="H361" s="192"/>
      <c r="I361" s="122" t="s">
        <v>82</v>
      </c>
      <c r="J361" s="122" t="s">
        <v>83</v>
      </c>
      <c r="K361" s="122" t="s">
        <v>84</v>
      </c>
      <c r="L361" s="184"/>
      <c r="M361" s="184"/>
      <c r="N361" s="184"/>
      <c r="O361" s="201"/>
      <c r="P361" s="204"/>
      <c r="Q361" s="201"/>
      <c r="R361" s="71"/>
      <c r="S361" s="71"/>
      <c r="T361" s="71"/>
      <c r="U361" s="71"/>
      <c r="V361" s="71"/>
      <c r="W361" s="104">
        <f t="shared" si="62"/>
        <v>0</v>
      </c>
      <c r="X361" s="104">
        <f t="shared" si="63"/>
        <v>0</v>
      </c>
    </row>
    <row r="362" spans="1:24" ht="15" customHeight="1" hidden="1">
      <c r="A362" s="43"/>
      <c r="B362" s="209"/>
      <c r="C362" s="190">
        <v>2103.15</v>
      </c>
      <c r="D362" s="191"/>
      <c r="E362" s="191"/>
      <c r="F362" s="191"/>
      <c r="G362" s="191"/>
      <c r="H362" s="192"/>
      <c r="I362" s="49">
        <v>26.61</v>
      </c>
      <c r="J362" s="49">
        <v>31.3998</v>
      </c>
      <c r="K362" s="217">
        <v>51.61319999999999</v>
      </c>
      <c r="L362" s="185"/>
      <c r="M362" s="185"/>
      <c r="N362" s="185"/>
      <c r="O362" s="202"/>
      <c r="P362" s="205"/>
      <c r="Q362" s="202"/>
      <c r="R362" s="71"/>
      <c r="S362" s="71"/>
      <c r="T362" s="71"/>
      <c r="U362" s="71"/>
      <c r="V362" s="71"/>
      <c r="W362" s="104">
        <f t="shared" si="62"/>
        <v>0</v>
      </c>
      <c r="X362" s="104">
        <f t="shared" si="63"/>
        <v>0</v>
      </c>
    </row>
    <row r="363" spans="1:24" ht="15" customHeight="1" hidden="1">
      <c r="A363" s="43"/>
      <c r="B363" s="209"/>
      <c r="C363" s="190" t="s">
        <v>93</v>
      </c>
      <c r="D363" s="191"/>
      <c r="E363" s="191"/>
      <c r="F363" s="191"/>
      <c r="G363" s="191"/>
      <c r="H363" s="192"/>
      <c r="I363" s="122" t="s">
        <v>110</v>
      </c>
      <c r="J363" s="122" t="s">
        <v>83</v>
      </c>
      <c r="K363" s="218"/>
      <c r="L363" s="185"/>
      <c r="M363" s="185"/>
      <c r="N363" s="185"/>
      <c r="O363" s="202"/>
      <c r="P363" s="205"/>
      <c r="Q363" s="202"/>
      <c r="R363" s="71"/>
      <c r="S363" s="71"/>
      <c r="T363" s="71"/>
      <c r="U363" s="71"/>
      <c r="V363" s="71"/>
      <c r="W363" s="104">
        <f t="shared" si="62"/>
        <v>0</v>
      </c>
      <c r="X363" s="104">
        <f t="shared" si="63"/>
        <v>0</v>
      </c>
    </row>
    <row r="364" spans="1:24" ht="15" customHeight="1" hidden="1">
      <c r="A364" s="43"/>
      <c r="B364" s="210"/>
      <c r="C364" s="193">
        <v>2481.717</v>
      </c>
      <c r="D364" s="194"/>
      <c r="E364" s="194"/>
      <c r="F364" s="194"/>
      <c r="G364" s="194"/>
      <c r="H364" s="195"/>
      <c r="I364" s="49">
        <v>17.13</v>
      </c>
      <c r="J364" s="49">
        <v>20.213399999999996</v>
      </c>
      <c r="K364" s="219"/>
      <c r="L364" s="186"/>
      <c r="M364" s="186"/>
      <c r="N364" s="186"/>
      <c r="O364" s="203"/>
      <c r="P364" s="206"/>
      <c r="Q364" s="203"/>
      <c r="R364" s="71"/>
      <c r="S364" s="71"/>
      <c r="T364" s="71"/>
      <c r="U364" s="71"/>
      <c r="V364" s="71"/>
      <c r="W364" s="104">
        <f t="shared" si="62"/>
        <v>0</v>
      </c>
      <c r="X364" s="104">
        <f t="shared" si="63"/>
        <v>0</v>
      </c>
    </row>
    <row r="365" spans="1:24" ht="15" customHeight="1" hidden="1">
      <c r="A365" s="43"/>
      <c r="B365" s="45" t="s">
        <v>111</v>
      </c>
      <c r="C365" s="92"/>
      <c r="D365" s="92"/>
      <c r="E365" s="56"/>
      <c r="F365" s="66">
        <v>1.172</v>
      </c>
      <c r="G365" s="86">
        <v>1.172</v>
      </c>
      <c r="H365" s="56">
        <v>2908.57</v>
      </c>
      <c r="I365" s="55"/>
      <c r="J365" s="55">
        <v>80.01</v>
      </c>
      <c r="K365" s="55">
        <v>4129.53</v>
      </c>
      <c r="L365" s="124"/>
      <c r="M365" s="124"/>
      <c r="N365" s="124"/>
      <c r="O365" s="120">
        <v>10432</v>
      </c>
      <c r="P365" s="121">
        <v>4.06379</v>
      </c>
      <c r="Q365" s="120">
        <f>P365*O365</f>
        <v>42393.45728</v>
      </c>
      <c r="R365" s="71"/>
      <c r="S365" s="71"/>
      <c r="T365" s="71"/>
      <c r="U365" s="71"/>
      <c r="V365" s="71"/>
      <c r="W365" s="104">
        <f t="shared" si="62"/>
        <v>95.62681841620694</v>
      </c>
      <c r="X365" s="104">
        <f t="shared" si="63"/>
        <v>56.35239685360626</v>
      </c>
    </row>
    <row r="366" spans="1:24" ht="15" customHeight="1" hidden="1">
      <c r="A366" s="43"/>
      <c r="B366" s="45" t="s">
        <v>112</v>
      </c>
      <c r="C366" s="92"/>
      <c r="D366" s="92"/>
      <c r="E366" s="56"/>
      <c r="F366" s="66">
        <v>1.092</v>
      </c>
      <c r="G366" s="86">
        <v>1.092</v>
      </c>
      <c r="H366" s="56">
        <v>2710.04</v>
      </c>
      <c r="I366" s="55"/>
      <c r="J366" s="55">
        <v>73.49</v>
      </c>
      <c r="K366" s="55">
        <v>3793.3</v>
      </c>
      <c r="L366" s="124"/>
      <c r="M366" s="124"/>
      <c r="N366" s="124"/>
      <c r="O366" s="120">
        <v>9398</v>
      </c>
      <c r="P366" s="121">
        <v>4.14442</v>
      </c>
      <c r="Q366" s="120">
        <f>P366*O366</f>
        <v>38949.25916</v>
      </c>
      <c r="R366" s="71"/>
      <c r="S366" s="71"/>
      <c r="T366" s="71"/>
      <c r="U366" s="71"/>
      <c r="V366" s="71"/>
      <c r="W366" s="104">
        <f t="shared" si="62"/>
        <v>86.14847004174779</v>
      </c>
      <c r="X366" s="104">
        <f t="shared" si="63"/>
        <v>50.7668544507469</v>
      </c>
    </row>
    <row r="367" spans="1:24" ht="15" customHeight="1" hidden="1">
      <c r="A367" s="43"/>
      <c r="B367" s="44" t="s">
        <v>113</v>
      </c>
      <c r="C367" s="50"/>
      <c r="D367" s="50"/>
      <c r="E367" s="60"/>
      <c r="F367" s="67">
        <v>1.245</v>
      </c>
      <c r="G367" s="62">
        <v>1.245</v>
      </c>
      <c r="H367" s="60">
        <v>3089.74</v>
      </c>
      <c r="I367" s="120"/>
      <c r="J367" s="120">
        <v>45.53</v>
      </c>
      <c r="K367" s="120">
        <v>2349.77</v>
      </c>
      <c r="L367" s="124"/>
      <c r="M367" s="124"/>
      <c r="N367" s="124"/>
      <c r="O367" s="120">
        <v>8945</v>
      </c>
      <c r="P367" s="121">
        <v>3.75833</v>
      </c>
      <c r="Q367" s="120">
        <f>P367*O367</f>
        <v>33618.26185</v>
      </c>
      <c r="R367" s="71"/>
      <c r="S367" s="71"/>
      <c r="T367" s="71"/>
      <c r="U367" s="71"/>
      <c r="V367" s="71"/>
      <c r="W367" s="104">
        <f t="shared" si="62"/>
        <v>81.99596345216364</v>
      </c>
      <c r="X367" s="104">
        <f t="shared" si="63"/>
        <v>48.31980347541296</v>
      </c>
    </row>
    <row r="368" spans="1:24" ht="15" customHeight="1" hidden="1">
      <c r="A368" s="43"/>
      <c r="B368" s="44" t="s">
        <v>114</v>
      </c>
      <c r="C368" s="50"/>
      <c r="D368" s="50"/>
      <c r="E368" s="61">
        <v>13.557</v>
      </c>
      <c r="F368" s="61">
        <v>1.051</v>
      </c>
      <c r="G368" s="61">
        <f>F368+E368</f>
        <v>14.608</v>
      </c>
      <c r="H368" s="60">
        <v>36252.93</v>
      </c>
      <c r="I368" s="120"/>
      <c r="J368" s="120">
        <v>62.91</v>
      </c>
      <c r="K368" s="120">
        <v>3246.93</v>
      </c>
      <c r="L368" s="124"/>
      <c r="M368" s="124"/>
      <c r="N368" s="124"/>
      <c r="O368" s="120">
        <v>11134</v>
      </c>
      <c r="P368" s="121">
        <v>3.19572</v>
      </c>
      <c r="Q368" s="120">
        <f>P368*O368</f>
        <v>35581.14648</v>
      </c>
      <c r="R368" s="71"/>
      <c r="S368" s="71"/>
      <c r="T368" s="71"/>
      <c r="U368" s="71"/>
      <c r="V368" s="71"/>
      <c r="W368" s="104">
        <f t="shared" si="62"/>
        <v>102.06182862788037</v>
      </c>
      <c r="X368" s="104">
        <f t="shared" si="63"/>
        <v>60.14451558359395</v>
      </c>
    </row>
    <row r="369" spans="1:24" ht="15" customHeight="1" hidden="1">
      <c r="A369" s="43"/>
      <c r="B369" s="44" t="s">
        <v>115</v>
      </c>
      <c r="C369" s="50"/>
      <c r="D369" s="50"/>
      <c r="E369" s="61">
        <v>13.819</v>
      </c>
      <c r="F369" s="61">
        <v>1.103</v>
      </c>
      <c r="G369" s="61">
        <f>F369+E369</f>
        <v>14.922</v>
      </c>
      <c r="H369" s="60">
        <v>37033.71</v>
      </c>
      <c r="I369" s="120"/>
      <c r="J369" s="120">
        <v>55.63</v>
      </c>
      <c r="K369" s="120">
        <v>2871.3</v>
      </c>
      <c r="L369" s="124"/>
      <c r="M369" s="124"/>
      <c r="N369" s="124"/>
      <c r="O369" s="124">
        <v>9700</v>
      </c>
      <c r="P369" s="78"/>
      <c r="Q369" s="124"/>
      <c r="R369" s="71"/>
      <c r="S369" s="71"/>
      <c r="T369" s="71"/>
      <c r="U369" s="71"/>
      <c r="V369" s="71"/>
      <c r="W369" s="104">
        <f t="shared" si="62"/>
        <v>88.9168077681372</v>
      </c>
      <c r="X369" s="104">
        <f t="shared" si="63"/>
        <v>52.39822176763619</v>
      </c>
    </row>
    <row r="370" spans="1:24" ht="15" customHeight="1" hidden="1">
      <c r="A370" s="43"/>
      <c r="B370" s="44" t="s">
        <v>116</v>
      </c>
      <c r="C370" s="50"/>
      <c r="D370" s="50"/>
      <c r="E370" s="61">
        <v>16.909</v>
      </c>
      <c r="F370" s="61">
        <v>1.41</v>
      </c>
      <c r="G370" s="61">
        <f>F370+E370</f>
        <v>18.319</v>
      </c>
      <c r="H370" s="60">
        <v>45462.63</v>
      </c>
      <c r="I370" s="120"/>
      <c r="J370" s="120">
        <v>58.55</v>
      </c>
      <c r="K370" s="120">
        <v>3022.04</v>
      </c>
      <c r="L370" s="124"/>
      <c r="M370" s="124"/>
      <c r="N370" s="124"/>
      <c r="O370" s="124">
        <v>10932</v>
      </c>
      <c r="P370" s="78"/>
      <c r="Q370" s="124"/>
      <c r="R370" s="71"/>
      <c r="S370" s="71"/>
      <c r="T370" s="71"/>
      <c r="U370" s="71"/>
      <c r="V370" s="71"/>
      <c r="W370" s="104">
        <f t="shared" si="62"/>
        <v>100.21015902281195</v>
      </c>
      <c r="X370" s="104">
        <f t="shared" si="63"/>
        <v>59.053336119979264</v>
      </c>
    </row>
    <row r="371" spans="1:24" ht="15" customHeight="1">
      <c r="A371" s="43"/>
      <c r="B371" s="118" t="s">
        <v>117</v>
      </c>
      <c r="C371" s="58">
        <v>0</v>
      </c>
      <c r="D371" s="58">
        <v>0</v>
      </c>
      <c r="E371" s="59">
        <v>68.055</v>
      </c>
      <c r="F371" s="59">
        <v>10.236</v>
      </c>
      <c r="G371" s="59">
        <v>78.29100000000001</v>
      </c>
      <c r="H371" s="58">
        <v>187191.7229968</v>
      </c>
      <c r="I371" s="58">
        <v>0</v>
      </c>
      <c r="J371" s="58">
        <v>602.6800000000001</v>
      </c>
      <c r="K371" s="58">
        <v>30233.100000000002</v>
      </c>
      <c r="L371" s="124">
        <f>L370+L369+L368+L367+L366+L365+L360+L359+L358+L357+L356+L355</f>
        <v>0</v>
      </c>
      <c r="M371" s="124">
        <f>M370+M369+M368+M367+M366+M365+M360+M359+M358+M357+M356+M355</f>
        <v>0</v>
      </c>
      <c r="N371" s="124">
        <f>N370+N369+N368+N367+N366+N365+N360+N359+N358+N357+N356+N355</f>
        <v>0</v>
      </c>
      <c r="O371" s="79">
        <v>9600</v>
      </c>
      <c r="P371" s="124"/>
      <c r="Q371" s="124">
        <f>Q370+Q369+Q368+Q367+Q366+Q365+Q360+Q359+Q358+Q357+Q356+Q355</f>
        <v>345279.15828</v>
      </c>
      <c r="R371" s="71"/>
      <c r="S371" s="71"/>
      <c r="T371" s="71"/>
      <c r="U371" s="71"/>
      <c r="V371" s="71">
        <v>70</v>
      </c>
      <c r="W371" s="104">
        <f t="shared" si="62"/>
        <v>88.00013964681621</v>
      </c>
      <c r="X371" s="104">
        <f t="shared" si="63"/>
        <v>51.85803391436159</v>
      </c>
    </row>
    <row r="372" spans="1:24" ht="15" customHeight="1" hidden="1">
      <c r="A372" s="42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71"/>
      <c r="S372" s="71"/>
      <c r="T372" s="71"/>
      <c r="U372" s="71"/>
      <c r="V372" s="71"/>
      <c r="W372" s="104">
        <f t="shared" si="62"/>
        <v>0</v>
      </c>
      <c r="X372" s="104">
        <f t="shared" si="63"/>
        <v>0</v>
      </c>
    </row>
    <row r="373" spans="1:24" ht="15" customHeight="1" hidden="1">
      <c r="A373" s="43">
        <v>17</v>
      </c>
      <c r="B373" s="181" t="s">
        <v>148</v>
      </c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3"/>
      <c r="R373" s="71"/>
      <c r="S373" s="71"/>
      <c r="T373" s="71"/>
      <c r="U373" s="71"/>
      <c r="V373" s="71"/>
      <c r="W373" s="104">
        <f t="shared" si="62"/>
        <v>0</v>
      </c>
      <c r="X373" s="104">
        <f t="shared" si="63"/>
        <v>0</v>
      </c>
    </row>
    <row r="374" spans="1:24" ht="15" customHeight="1" hidden="1">
      <c r="A374" s="43"/>
      <c r="B374" s="184" t="s">
        <v>80</v>
      </c>
      <c r="C374" s="181" t="s">
        <v>81</v>
      </c>
      <c r="D374" s="182"/>
      <c r="E374" s="182"/>
      <c r="F374" s="182"/>
      <c r="G374" s="182"/>
      <c r="H374" s="183"/>
      <c r="I374" s="118" t="s">
        <v>82</v>
      </c>
      <c r="J374" s="118" t="s">
        <v>83</v>
      </c>
      <c r="K374" s="118" t="s">
        <v>84</v>
      </c>
      <c r="L374" s="199" t="s">
        <v>85</v>
      </c>
      <c r="M374" s="199" t="s">
        <v>86</v>
      </c>
      <c r="N374" s="199" t="s">
        <v>87</v>
      </c>
      <c r="O374" s="199" t="s">
        <v>88</v>
      </c>
      <c r="P374" s="200" t="s">
        <v>89</v>
      </c>
      <c r="Q374" s="199" t="s">
        <v>90</v>
      </c>
      <c r="R374" s="71"/>
      <c r="S374" s="71"/>
      <c r="T374" s="71"/>
      <c r="U374" s="71"/>
      <c r="V374" s="71"/>
      <c r="W374" s="104" t="e">
        <f t="shared" si="62"/>
        <v>#VALUE!</v>
      </c>
      <c r="X374" s="104" t="e">
        <f t="shared" si="63"/>
        <v>#VALUE!</v>
      </c>
    </row>
    <row r="375" spans="1:24" ht="15" customHeight="1" hidden="1">
      <c r="A375" s="43"/>
      <c r="B375" s="185"/>
      <c r="C375" s="181">
        <v>2022.64</v>
      </c>
      <c r="D375" s="182"/>
      <c r="E375" s="182"/>
      <c r="F375" s="182"/>
      <c r="G375" s="182"/>
      <c r="H375" s="183"/>
      <c r="I375" s="126">
        <v>25.35</v>
      </c>
      <c r="J375" s="126">
        <f>I375*1.18</f>
        <v>29.913</v>
      </c>
      <c r="K375" s="196">
        <f>29.913+19.14</f>
        <v>49.053</v>
      </c>
      <c r="L375" s="199"/>
      <c r="M375" s="199"/>
      <c r="N375" s="199"/>
      <c r="O375" s="199"/>
      <c r="P375" s="200"/>
      <c r="Q375" s="199"/>
      <c r="R375" s="71"/>
      <c r="S375" s="71"/>
      <c r="T375" s="71"/>
      <c r="U375" s="71"/>
      <c r="V375" s="71"/>
      <c r="W375" s="104">
        <f t="shared" si="62"/>
        <v>0</v>
      </c>
      <c r="X375" s="104">
        <f t="shared" si="63"/>
        <v>0</v>
      </c>
    </row>
    <row r="376" spans="1:24" ht="15" customHeight="1" hidden="1">
      <c r="A376" s="43"/>
      <c r="B376" s="185"/>
      <c r="C376" s="181" t="s">
        <v>93</v>
      </c>
      <c r="D376" s="182"/>
      <c r="E376" s="182"/>
      <c r="F376" s="182"/>
      <c r="G376" s="182"/>
      <c r="H376" s="183"/>
      <c r="I376" s="118" t="s">
        <v>94</v>
      </c>
      <c r="J376" s="118" t="s">
        <v>83</v>
      </c>
      <c r="K376" s="197"/>
      <c r="L376" s="199"/>
      <c r="M376" s="199"/>
      <c r="N376" s="199"/>
      <c r="O376" s="199"/>
      <c r="P376" s="200"/>
      <c r="Q376" s="199"/>
      <c r="R376" s="71"/>
      <c r="S376" s="71"/>
      <c r="T376" s="71"/>
      <c r="U376" s="71"/>
      <c r="V376" s="71"/>
      <c r="W376" s="104">
        <f t="shared" si="62"/>
        <v>0</v>
      </c>
      <c r="X376" s="104">
        <f t="shared" si="63"/>
        <v>0</v>
      </c>
    </row>
    <row r="377" spans="1:24" ht="15" customHeight="1" hidden="1">
      <c r="A377" s="43"/>
      <c r="B377" s="186"/>
      <c r="C377" s="187">
        <f>C375*1.18</f>
        <v>2386.7152</v>
      </c>
      <c r="D377" s="188"/>
      <c r="E377" s="188"/>
      <c r="F377" s="188"/>
      <c r="G377" s="188"/>
      <c r="H377" s="189"/>
      <c r="I377" s="126">
        <v>16.22</v>
      </c>
      <c r="J377" s="126">
        <f>I377*1.18</f>
        <v>19.139599999999998</v>
      </c>
      <c r="K377" s="198"/>
      <c r="L377" s="199"/>
      <c r="M377" s="199"/>
      <c r="N377" s="199"/>
      <c r="O377" s="199"/>
      <c r="P377" s="200"/>
      <c r="Q377" s="199"/>
      <c r="R377" s="71"/>
      <c r="S377" s="71"/>
      <c r="T377" s="71"/>
      <c r="U377" s="71"/>
      <c r="V377" s="71"/>
      <c r="W377" s="104">
        <f t="shared" si="62"/>
        <v>0</v>
      </c>
      <c r="X377" s="104">
        <f t="shared" si="63"/>
        <v>0</v>
      </c>
    </row>
    <row r="378" spans="1:24" ht="45" customHeight="1" hidden="1">
      <c r="A378" s="43"/>
      <c r="B378" s="118" t="s">
        <v>96</v>
      </c>
      <c r="C378" s="118" t="s">
        <v>97</v>
      </c>
      <c r="D378" s="118" t="s">
        <v>98</v>
      </c>
      <c r="E378" s="118" t="s">
        <v>99</v>
      </c>
      <c r="F378" s="118" t="s">
        <v>100</v>
      </c>
      <c r="G378" s="118" t="s">
        <v>101</v>
      </c>
      <c r="H378" s="118" t="s">
        <v>90</v>
      </c>
      <c r="I378" s="118" t="s">
        <v>171</v>
      </c>
      <c r="J378" s="118" t="s">
        <v>102</v>
      </c>
      <c r="K378" s="118" t="s">
        <v>90</v>
      </c>
      <c r="L378" s="199"/>
      <c r="M378" s="199"/>
      <c r="N378" s="199"/>
      <c r="O378" s="199"/>
      <c r="P378" s="200"/>
      <c r="Q378" s="199"/>
      <c r="R378" s="71"/>
      <c r="S378" s="71"/>
      <c r="T378" s="71"/>
      <c r="U378" s="71"/>
      <c r="V378" s="71"/>
      <c r="W378" s="104">
        <f t="shared" si="62"/>
        <v>0</v>
      </c>
      <c r="X378" s="104">
        <f t="shared" si="63"/>
        <v>0</v>
      </c>
    </row>
    <row r="379" spans="1:24" ht="15" customHeight="1" hidden="1">
      <c r="A379" s="43"/>
      <c r="B379" s="44" t="s">
        <v>103</v>
      </c>
      <c r="C379" s="44"/>
      <c r="D379" s="44"/>
      <c r="E379" s="62">
        <v>35.43</v>
      </c>
      <c r="F379" s="62">
        <v>1.62</v>
      </c>
      <c r="G379" s="62">
        <f aca="true" t="shared" si="66" ref="G379:G384">F379+E379</f>
        <v>37.05</v>
      </c>
      <c r="H379" s="93">
        <v>88427.8</v>
      </c>
      <c r="I379" s="120">
        <v>4599</v>
      </c>
      <c r="J379" s="120"/>
      <c r="K379" s="120">
        <v>225575.54</v>
      </c>
      <c r="L379" s="124"/>
      <c r="M379" s="124"/>
      <c r="N379" s="124"/>
      <c r="O379" s="120">
        <v>437491.8</v>
      </c>
      <c r="P379" s="121">
        <v>3.20931</v>
      </c>
      <c r="Q379" s="120">
        <f aca="true" t="shared" si="67" ref="Q379:Q384">P379*O379</f>
        <v>1404046.8086579998</v>
      </c>
      <c r="R379" s="71"/>
      <c r="S379" s="71"/>
      <c r="T379" s="71"/>
      <c r="U379" s="71"/>
      <c r="V379" s="71"/>
      <c r="W379" s="104">
        <f t="shared" si="62"/>
        <v>4010.3478639934356</v>
      </c>
      <c r="X379" s="104">
        <f t="shared" si="63"/>
        <v>2363.277562672406</v>
      </c>
    </row>
    <row r="380" spans="1:24" ht="15" customHeight="1" hidden="1">
      <c r="A380" s="43"/>
      <c r="B380" s="44" t="s">
        <v>104</v>
      </c>
      <c r="C380" s="44"/>
      <c r="D380" s="44"/>
      <c r="E380" s="67">
        <v>29.74</v>
      </c>
      <c r="F380" s="67">
        <v>1.524</v>
      </c>
      <c r="G380" s="62">
        <f t="shared" si="66"/>
        <v>31.264</v>
      </c>
      <c r="H380" s="93">
        <v>74618.27</v>
      </c>
      <c r="I380" s="120">
        <v>4511.7</v>
      </c>
      <c r="J380" s="120"/>
      <c r="K380" s="120">
        <v>221293.58</v>
      </c>
      <c r="L380" s="124"/>
      <c r="M380" s="124"/>
      <c r="N380" s="124"/>
      <c r="O380" s="120">
        <v>404572.5</v>
      </c>
      <c r="P380" s="121">
        <v>3.39007</v>
      </c>
      <c r="Q380" s="120">
        <f t="shared" si="67"/>
        <v>1371529.095075</v>
      </c>
      <c r="R380" s="71"/>
      <c r="S380" s="71"/>
      <c r="T380" s="71"/>
      <c r="U380" s="71"/>
      <c r="V380" s="71"/>
      <c r="W380" s="104">
        <f t="shared" si="62"/>
        <v>3708.587135131411</v>
      </c>
      <c r="X380" s="104">
        <f t="shared" si="63"/>
        <v>2185.4515026893805</v>
      </c>
    </row>
    <row r="381" spans="1:24" ht="15" customHeight="1" hidden="1">
      <c r="A381" s="43"/>
      <c r="B381" s="44" t="s">
        <v>105</v>
      </c>
      <c r="C381" s="44"/>
      <c r="D381" s="44"/>
      <c r="E381" s="67">
        <v>38.614</v>
      </c>
      <c r="F381" s="67">
        <v>1.764</v>
      </c>
      <c r="G381" s="62">
        <f t="shared" si="66"/>
        <v>40.378</v>
      </c>
      <c r="H381" s="93">
        <v>96370.79</v>
      </c>
      <c r="I381" s="120">
        <v>5011.2</v>
      </c>
      <c r="J381" s="120"/>
      <c r="K381" s="120">
        <v>245793.47</v>
      </c>
      <c r="L381" s="124"/>
      <c r="M381" s="124"/>
      <c r="N381" s="124"/>
      <c r="O381" s="120">
        <v>439168.5</v>
      </c>
      <c r="P381" s="121">
        <v>3.39864</v>
      </c>
      <c r="Q381" s="120">
        <f t="shared" si="67"/>
        <v>1492575.63084</v>
      </c>
      <c r="R381" s="71"/>
      <c r="S381" s="71"/>
      <c r="T381" s="71"/>
      <c r="U381" s="71"/>
      <c r="V381" s="71"/>
      <c r="W381" s="104">
        <f t="shared" si="62"/>
        <v>4025.717638383625</v>
      </c>
      <c r="X381" s="104">
        <f t="shared" si="63"/>
        <v>2372.334892408261</v>
      </c>
    </row>
    <row r="382" spans="1:24" ht="15" customHeight="1" hidden="1">
      <c r="A382" s="43"/>
      <c r="B382" s="44" t="s">
        <v>106</v>
      </c>
      <c r="C382" s="44"/>
      <c r="D382" s="44"/>
      <c r="E382" s="67">
        <v>13.172</v>
      </c>
      <c r="F382" s="67">
        <v>2.233</v>
      </c>
      <c r="G382" s="62">
        <f t="shared" si="66"/>
        <v>15.405000000000001</v>
      </c>
      <c r="H382" s="93">
        <v>36767.35</v>
      </c>
      <c r="I382" s="120">
        <v>4872.6</v>
      </c>
      <c r="J382" s="120"/>
      <c r="K382" s="120">
        <v>238995.3</v>
      </c>
      <c r="L382" s="124"/>
      <c r="M382" s="124"/>
      <c r="N382" s="124"/>
      <c r="O382" s="120">
        <v>333765.9</v>
      </c>
      <c r="P382" s="121">
        <v>3.31733</v>
      </c>
      <c r="Q382" s="120">
        <f t="shared" si="67"/>
        <v>1107211.633047</v>
      </c>
      <c r="R382" s="71"/>
      <c r="S382" s="71"/>
      <c r="T382" s="71"/>
      <c r="U382" s="71"/>
      <c r="V382" s="71"/>
      <c r="W382" s="104">
        <f t="shared" si="62"/>
        <v>3059.5256051401348</v>
      </c>
      <c r="X382" s="104">
        <f t="shared" si="63"/>
        <v>1802.9628501726481</v>
      </c>
    </row>
    <row r="383" spans="1:24" ht="15" customHeight="1" hidden="1">
      <c r="A383" s="43"/>
      <c r="B383" s="44" t="s">
        <v>107</v>
      </c>
      <c r="C383" s="44"/>
      <c r="D383" s="44"/>
      <c r="E383" s="60"/>
      <c r="F383" s="67">
        <v>2.379</v>
      </c>
      <c r="G383" s="62">
        <f t="shared" si="66"/>
        <v>2.379</v>
      </c>
      <c r="H383" s="93">
        <v>5677.99</v>
      </c>
      <c r="I383" s="120">
        <v>4118.4</v>
      </c>
      <c r="J383" s="120"/>
      <c r="K383" s="120">
        <v>202002.68</v>
      </c>
      <c r="L383" s="124"/>
      <c r="M383" s="124"/>
      <c r="N383" s="124"/>
      <c r="O383" s="120">
        <v>150903.9</v>
      </c>
      <c r="P383" s="121">
        <v>3.40847</v>
      </c>
      <c r="Q383" s="120">
        <f t="shared" si="67"/>
        <v>514351.416033</v>
      </c>
      <c r="R383" s="71"/>
      <c r="S383" s="71"/>
      <c r="T383" s="71"/>
      <c r="U383" s="71"/>
      <c r="V383" s="71"/>
      <c r="W383" s="104">
        <f t="shared" si="62"/>
        <v>1383.2879451301237</v>
      </c>
      <c r="X383" s="104">
        <f t="shared" si="63"/>
        <v>815.164537917649</v>
      </c>
    </row>
    <row r="384" spans="1:24" ht="15" customHeight="1" hidden="1">
      <c r="A384" s="43"/>
      <c r="B384" s="44" t="s">
        <v>108</v>
      </c>
      <c r="C384" s="44"/>
      <c r="D384" s="44"/>
      <c r="E384" s="60"/>
      <c r="F384" s="67">
        <v>2.036</v>
      </c>
      <c r="G384" s="62">
        <f t="shared" si="66"/>
        <v>2.036</v>
      </c>
      <c r="H384" s="93">
        <v>4859.35</v>
      </c>
      <c r="I384" s="120">
        <v>4809.6</v>
      </c>
      <c r="J384" s="120"/>
      <c r="K384" s="120">
        <v>235905.23</v>
      </c>
      <c r="L384" s="124"/>
      <c r="M384" s="124"/>
      <c r="N384" s="124"/>
      <c r="O384" s="120">
        <v>156576.6</v>
      </c>
      <c r="P384" s="121">
        <v>3.44841</v>
      </c>
      <c r="Q384" s="120">
        <f t="shared" si="67"/>
        <v>539940.313206</v>
      </c>
      <c r="R384" s="71"/>
      <c r="S384" s="71"/>
      <c r="T384" s="71"/>
      <c r="U384" s="71"/>
      <c r="V384" s="71"/>
      <c r="W384" s="104">
        <f t="shared" si="62"/>
        <v>1435.2877776483</v>
      </c>
      <c r="X384" s="104">
        <f t="shared" si="63"/>
        <v>845.8077742703572</v>
      </c>
    </row>
    <row r="385" spans="1:24" ht="15" customHeight="1" hidden="1">
      <c r="A385" s="43"/>
      <c r="B385" s="176" t="s">
        <v>109</v>
      </c>
      <c r="C385" s="170" t="s">
        <v>81</v>
      </c>
      <c r="D385" s="171"/>
      <c r="E385" s="171"/>
      <c r="F385" s="171"/>
      <c r="G385" s="171"/>
      <c r="H385" s="172"/>
      <c r="I385" s="51" t="s">
        <v>82</v>
      </c>
      <c r="J385" s="51" t="s">
        <v>83</v>
      </c>
      <c r="K385" s="51" t="s">
        <v>84</v>
      </c>
      <c r="L385" s="184"/>
      <c r="M385" s="184"/>
      <c r="N385" s="184"/>
      <c r="O385" s="201"/>
      <c r="P385" s="204"/>
      <c r="Q385" s="201"/>
      <c r="R385" s="71"/>
      <c r="S385" s="71"/>
      <c r="T385" s="71"/>
      <c r="U385" s="71"/>
      <c r="V385" s="71"/>
      <c r="W385" s="104">
        <f t="shared" si="62"/>
        <v>0</v>
      </c>
      <c r="X385" s="104">
        <f t="shared" si="63"/>
        <v>0</v>
      </c>
    </row>
    <row r="386" spans="1:24" ht="15" customHeight="1" hidden="1">
      <c r="A386" s="43"/>
      <c r="B386" s="177"/>
      <c r="C386" s="170">
        <v>2103.15</v>
      </c>
      <c r="D386" s="171"/>
      <c r="E386" s="171"/>
      <c r="F386" s="171"/>
      <c r="G386" s="171"/>
      <c r="H386" s="172"/>
      <c r="I386" s="52">
        <v>26.61</v>
      </c>
      <c r="J386" s="52">
        <f>I386*1.18</f>
        <v>31.3998</v>
      </c>
      <c r="K386" s="167">
        <f>J388+J386</f>
        <v>51.61319999999999</v>
      </c>
      <c r="L386" s="185"/>
      <c r="M386" s="185"/>
      <c r="N386" s="185"/>
      <c r="O386" s="202"/>
      <c r="P386" s="205"/>
      <c r="Q386" s="202"/>
      <c r="R386" s="71"/>
      <c r="S386" s="71"/>
      <c r="T386" s="71"/>
      <c r="U386" s="71"/>
      <c r="V386" s="71"/>
      <c r="W386" s="104">
        <f t="shared" si="62"/>
        <v>0</v>
      </c>
      <c r="X386" s="104">
        <f t="shared" si="63"/>
        <v>0</v>
      </c>
    </row>
    <row r="387" spans="1:24" ht="15" customHeight="1" hidden="1">
      <c r="A387" s="43"/>
      <c r="B387" s="177"/>
      <c r="C387" s="170" t="s">
        <v>93</v>
      </c>
      <c r="D387" s="171"/>
      <c r="E387" s="171"/>
      <c r="F387" s="171"/>
      <c r="G387" s="171"/>
      <c r="H387" s="172"/>
      <c r="I387" s="51" t="s">
        <v>110</v>
      </c>
      <c r="J387" s="51" t="s">
        <v>83</v>
      </c>
      <c r="K387" s="168"/>
      <c r="L387" s="185"/>
      <c r="M387" s="185"/>
      <c r="N387" s="185"/>
      <c r="O387" s="202"/>
      <c r="P387" s="205"/>
      <c r="Q387" s="202"/>
      <c r="R387" s="71"/>
      <c r="S387" s="71"/>
      <c r="T387" s="71"/>
      <c r="U387" s="71"/>
      <c r="V387" s="71"/>
      <c r="W387" s="104">
        <f t="shared" si="62"/>
        <v>0</v>
      </c>
      <c r="X387" s="104">
        <f t="shared" si="63"/>
        <v>0</v>
      </c>
    </row>
    <row r="388" spans="1:24" ht="15" customHeight="1" hidden="1">
      <c r="A388" s="43"/>
      <c r="B388" s="178"/>
      <c r="C388" s="173">
        <f>C386*1.18</f>
        <v>2481.717</v>
      </c>
      <c r="D388" s="174"/>
      <c r="E388" s="174"/>
      <c r="F388" s="174"/>
      <c r="G388" s="174"/>
      <c r="H388" s="175"/>
      <c r="I388" s="52">
        <v>17.13</v>
      </c>
      <c r="J388" s="52">
        <f>I388*1.18</f>
        <v>20.213399999999996</v>
      </c>
      <c r="K388" s="169"/>
      <c r="L388" s="186"/>
      <c r="M388" s="186"/>
      <c r="N388" s="186"/>
      <c r="O388" s="203"/>
      <c r="P388" s="206"/>
      <c r="Q388" s="203"/>
      <c r="R388" s="71"/>
      <c r="S388" s="71"/>
      <c r="T388" s="71"/>
      <c r="U388" s="71"/>
      <c r="V388" s="71"/>
      <c r="W388" s="104">
        <f t="shared" si="62"/>
        <v>0</v>
      </c>
      <c r="X388" s="104">
        <f t="shared" si="63"/>
        <v>0</v>
      </c>
    </row>
    <row r="389" spans="1:24" ht="15" customHeight="1" hidden="1">
      <c r="A389" s="43"/>
      <c r="B389" s="44" t="s">
        <v>111</v>
      </c>
      <c r="C389" s="44"/>
      <c r="D389" s="44"/>
      <c r="E389" s="60"/>
      <c r="F389" s="67">
        <v>2.016</v>
      </c>
      <c r="G389" s="62">
        <f aca="true" t="shared" si="68" ref="G389:G394">F389+E389</f>
        <v>2.016</v>
      </c>
      <c r="H389" s="69">
        <v>5003.14</v>
      </c>
      <c r="I389" s="120">
        <v>3167.1</v>
      </c>
      <c r="J389" s="120"/>
      <c r="K389" s="120">
        <v>163464.76</v>
      </c>
      <c r="L389" s="124"/>
      <c r="M389" s="124"/>
      <c r="N389" s="124"/>
      <c r="O389" s="120">
        <v>165133.8</v>
      </c>
      <c r="P389" s="121">
        <v>4.06379</v>
      </c>
      <c r="Q389" s="120">
        <f>P389*O389</f>
        <v>671069.0851019999</v>
      </c>
      <c r="R389" s="71"/>
      <c r="S389" s="71"/>
      <c r="T389" s="71"/>
      <c r="U389" s="71"/>
      <c r="V389" s="71"/>
      <c r="W389" s="104">
        <f t="shared" si="62"/>
        <v>1513.7289021259808</v>
      </c>
      <c r="X389" s="104">
        <f t="shared" si="63"/>
        <v>892.0327292507711</v>
      </c>
    </row>
    <row r="390" spans="1:24" ht="15" customHeight="1" hidden="1">
      <c r="A390" s="43"/>
      <c r="B390" s="44" t="s">
        <v>112</v>
      </c>
      <c r="C390" s="44"/>
      <c r="D390" s="44"/>
      <c r="E390" s="60"/>
      <c r="F390" s="67">
        <v>1.876</v>
      </c>
      <c r="G390" s="62">
        <f t="shared" si="68"/>
        <v>1.876</v>
      </c>
      <c r="H390" s="69">
        <v>4655.7</v>
      </c>
      <c r="I390" s="120">
        <v>3201.3</v>
      </c>
      <c r="J390" s="120"/>
      <c r="K390" s="120">
        <v>165229.94</v>
      </c>
      <c r="L390" s="124"/>
      <c r="M390" s="124"/>
      <c r="N390" s="124"/>
      <c r="O390" s="120">
        <v>155835.9</v>
      </c>
      <c r="P390" s="121">
        <v>4.14442</v>
      </c>
      <c r="Q390" s="120">
        <f>P390*O390</f>
        <v>645849.420678</v>
      </c>
      <c r="R390" s="71"/>
      <c r="S390" s="71"/>
      <c r="T390" s="71"/>
      <c r="U390" s="71"/>
      <c r="V390" s="71"/>
      <c r="W390" s="104">
        <f t="shared" si="62"/>
        <v>1428.4980168736756</v>
      </c>
      <c r="X390" s="104">
        <f t="shared" si="63"/>
        <v>841.8066028411522</v>
      </c>
    </row>
    <row r="391" spans="1:24" ht="15" customHeight="1" hidden="1">
      <c r="A391" s="43"/>
      <c r="B391" s="44" t="s">
        <v>113</v>
      </c>
      <c r="C391" s="44"/>
      <c r="D391" s="44"/>
      <c r="E391" s="60"/>
      <c r="F391" s="67">
        <v>2.139</v>
      </c>
      <c r="G391" s="62">
        <f t="shared" si="68"/>
        <v>2.139</v>
      </c>
      <c r="H391" s="69">
        <v>5308.4</v>
      </c>
      <c r="I391" s="120">
        <v>5445</v>
      </c>
      <c r="J391" s="120"/>
      <c r="K391" s="120">
        <v>281034.9</v>
      </c>
      <c r="L391" s="124"/>
      <c r="M391" s="124"/>
      <c r="N391" s="124"/>
      <c r="O391" s="120">
        <v>169056</v>
      </c>
      <c r="P391" s="121">
        <v>3.75833</v>
      </c>
      <c r="Q391" s="120">
        <f>P391*O391</f>
        <v>635368.23648</v>
      </c>
      <c r="R391" s="71"/>
      <c r="S391" s="71"/>
      <c r="T391" s="71"/>
      <c r="U391" s="71"/>
      <c r="V391" s="71"/>
      <c r="W391" s="104">
        <f t="shared" si="62"/>
        <v>1549.6824591804334</v>
      </c>
      <c r="X391" s="104">
        <f t="shared" si="63"/>
        <v>913.2199772319076</v>
      </c>
    </row>
    <row r="392" spans="1:24" ht="15" customHeight="1" hidden="1">
      <c r="A392" s="43"/>
      <c r="B392" s="44" t="s">
        <v>114</v>
      </c>
      <c r="C392" s="44"/>
      <c r="D392" s="44"/>
      <c r="E392" s="60">
        <v>22.43956</v>
      </c>
      <c r="F392" s="60">
        <v>1.805</v>
      </c>
      <c r="G392" s="62">
        <f t="shared" si="68"/>
        <v>24.24456</v>
      </c>
      <c r="H392" s="69">
        <v>60168.14</v>
      </c>
      <c r="I392" s="120">
        <v>5710.5</v>
      </c>
      <c r="J392" s="120"/>
      <c r="K392" s="120">
        <v>294738.26</v>
      </c>
      <c r="L392" s="124"/>
      <c r="M392" s="124"/>
      <c r="N392" s="124"/>
      <c r="O392" s="120">
        <v>392405.4</v>
      </c>
      <c r="P392" s="121">
        <v>3.19572</v>
      </c>
      <c r="Q392" s="120">
        <f>P392*O392</f>
        <v>1254017.7848880002</v>
      </c>
      <c r="R392" s="71"/>
      <c r="S392" s="71"/>
      <c r="T392" s="71"/>
      <c r="U392" s="71"/>
      <c r="V392" s="71"/>
      <c r="W392" s="104">
        <f t="shared" si="62"/>
        <v>3597.055208142164</v>
      </c>
      <c r="X392" s="104">
        <f t="shared" si="63"/>
        <v>2119.7263063936066</v>
      </c>
    </row>
    <row r="393" spans="1:24" ht="15" customHeight="1" hidden="1">
      <c r="A393" s="43"/>
      <c r="B393" s="44" t="s">
        <v>115</v>
      </c>
      <c r="C393" s="44"/>
      <c r="D393" s="44"/>
      <c r="E393" s="60">
        <v>23.75</v>
      </c>
      <c r="F393" s="60">
        <v>1.896</v>
      </c>
      <c r="G393" s="62">
        <f t="shared" si="68"/>
        <v>25.646</v>
      </c>
      <c r="H393" s="69">
        <v>63644.96</v>
      </c>
      <c r="I393" s="120"/>
      <c r="J393" s="120">
        <v>6750</v>
      </c>
      <c r="K393" s="120">
        <v>348390.37</v>
      </c>
      <c r="L393" s="124"/>
      <c r="M393" s="124"/>
      <c r="N393" s="124"/>
      <c r="O393" s="124"/>
      <c r="P393" s="78"/>
      <c r="Q393" s="124"/>
      <c r="R393" s="71"/>
      <c r="S393" s="71"/>
      <c r="T393" s="71"/>
      <c r="U393" s="71"/>
      <c r="V393" s="71"/>
      <c r="W393" s="104">
        <f t="shared" si="62"/>
        <v>0</v>
      </c>
      <c r="X393" s="104">
        <f t="shared" si="63"/>
        <v>0</v>
      </c>
    </row>
    <row r="394" spans="1:24" ht="15" customHeight="1" hidden="1">
      <c r="A394" s="43"/>
      <c r="B394" s="44" t="s">
        <v>116</v>
      </c>
      <c r="C394" s="44"/>
      <c r="D394" s="44"/>
      <c r="E394" s="60">
        <v>29.059</v>
      </c>
      <c r="F394" s="60">
        <v>2.424</v>
      </c>
      <c r="G394" s="62">
        <f t="shared" si="68"/>
        <v>31.483</v>
      </c>
      <c r="H394" s="69">
        <v>78130.62</v>
      </c>
      <c r="I394" s="120">
        <v>6840</v>
      </c>
      <c r="J394" s="120"/>
      <c r="K394" s="120">
        <v>353035.58</v>
      </c>
      <c r="L394" s="124"/>
      <c r="M394" s="124"/>
      <c r="N394" s="124"/>
      <c r="O394" s="124"/>
      <c r="P394" s="78"/>
      <c r="Q394" s="124"/>
      <c r="R394" s="71"/>
      <c r="S394" s="71"/>
      <c r="T394" s="71"/>
      <c r="U394" s="71"/>
      <c r="V394" s="71"/>
      <c r="W394" s="104">
        <f t="shared" si="62"/>
        <v>0</v>
      </c>
      <c r="X394" s="104">
        <f t="shared" si="63"/>
        <v>0</v>
      </c>
    </row>
    <row r="395" spans="1:24" ht="15" customHeight="1" hidden="1">
      <c r="A395" s="43"/>
      <c r="B395" s="118" t="s">
        <v>117</v>
      </c>
      <c r="C395" s="124">
        <f aca="true" t="shared" si="69" ref="C395:Q395">C394+C393+C392+C391+C390+C389+C384+C383+C382+C381+C380+C379</f>
        <v>0</v>
      </c>
      <c r="D395" s="124">
        <f t="shared" si="69"/>
        <v>0</v>
      </c>
      <c r="E395" s="124">
        <f t="shared" si="69"/>
        <v>192.20456000000001</v>
      </c>
      <c r="F395" s="124">
        <f t="shared" si="69"/>
        <v>23.712</v>
      </c>
      <c r="G395" s="124">
        <f t="shared" si="69"/>
        <v>215.91656</v>
      </c>
      <c r="H395" s="124">
        <f t="shared" si="69"/>
        <v>523632.50999999995</v>
      </c>
      <c r="I395" s="124">
        <f t="shared" si="69"/>
        <v>52286.399999999994</v>
      </c>
      <c r="J395" s="124">
        <f t="shared" si="69"/>
        <v>6750</v>
      </c>
      <c r="K395" s="124">
        <f t="shared" si="69"/>
        <v>2975459.61</v>
      </c>
      <c r="L395" s="124">
        <f t="shared" si="69"/>
        <v>0</v>
      </c>
      <c r="M395" s="124">
        <f t="shared" si="69"/>
        <v>0</v>
      </c>
      <c r="N395" s="124">
        <f t="shared" si="69"/>
        <v>0</v>
      </c>
      <c r="O395" s="124">
        <f t="shared" si="69"/>
        <v>2804910.3</v>
      </c>
      <c r="P395" s="124"/>
      <c r="Q395" s="124">
        <f t="shared" si="69"/>
        <v>9635959.424007</v>
      </c>
      <c r="R395" s="71"/>
      <c r="S395" s="71"/>
      <c r="T395" s="71"/>
      <c r="U395" s="71"/>
      <c r="V395" s="71"/>
      <c r="W395" s="104">
        <f t="shared" si="62"/>
        <v>25711.71855174928</v>
      </c>
      <c r="X395" s="104">
        <f t="shared" si="63"/>
        <v>15151.784735848138</v>
      </c>
    </row>
    <row r="396" spans="1:24" ht="15.75" hidden="1">
      <c r="A396" s="43">
        <v>17</v>
      </c>
      <c r="B396" s="181" t="s">
        <v>149</v>
      </c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3"/>
      <c r="R396" s="71"/>
      <c r="S396" s="71"/>
      <c r="T396" s="71"/>
      <c r="U396" s="71"/>
      <c r="V396" s="71"/>
      <c r="W396" s="104">
        <f t="shared" si="62"/>
        <v>0</v>
      </c>
      <c r="X396" s="104">
        <f t="shared" si="63"/>
        <v>0</v>
      </c>
    </row>
    <row r="397" spans="1:24" ht="15.75" customHeight="1" hidden="1">
      <c r="A397" s="43"/>
      <c r="B397" s="184" t="s">
        <v>80</v>
      </c>
      <c r="C397" s="181" t="s">
        <v>81</v>
      </c>
      <c r="D397" s="182"/>
      <c r="E397" s="182"/>
      <c r="F397" s="182"/>
      <c r="G397" s="182"/>
      <c r="H397" s="183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104">
        <f t="shared" si="62"/>
        <v>0</v>
      </c>
      <c r="X397" s="104">
        <f t="shared" si="63"/>
        <v>0</v>
      </c>
    </row>
    <row r="398" spans="1:24" ht="15.75" hidden="1">
      <c r="A398" s="43"/>
      <c r="B398" s="185"/>
      <c r="C398" s="181">
        <v>2022.64</v>
      </c>
      <c r="D398" s="182"/>
      <c r="E398" s="182"/>
      <c r="F398" s="182"/>
      <c r="G398" s="182"/>
      <c r="H398" s="183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104">
        <f t="shared" si="62"/>
        <v>0</v>
      </c>
      <c r="X398" s="104">
        <f t="shared" si="63"/>
        <v>0</v>
      </c>
    </row>
    <row r="399" spans="1:24" ht="15.75" hidden="1">
      <c r="A399" s="43"/>
      <c r="B399" s="185"/>
      <c r="C399" s="181" t="s">
        <v>93</v>
      </c>
      <c r="D399" s="182"/>
      <c r="E399" s="182"/>
      <c r="F399" s="182"/>
      <c r="G399" s="182"/>
      <c r="H399" s="183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104">
        <f t="shared" si="62"/>
        <v>0</v>
      </c>
      <c r="X399" s="104">
        <f t="shared" si="63"/>
        <v>0</v>
      </c>
    </row>
    <row r="400" spans="1:24" ht="15" customHeight="1" hidden="1">
      <c r="A400" s="43"/>
      <c r="B400" s="186"/>
      <c r="C400" s="187">
        <f>C398*1.18</f>
        <v>2386.7152</v>
      </c>
      <c r="D400" s="188"/>
      <c r="E400" s="188"/>
      <c r="F400" s="188"/>
      <c r="G400" s="188"/>
      <c r="H400" s="189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104">
        <f t="shared" si="62"/>
        <v>0</v>
      </c>
      <c r="X400" s="104">
        <f t="shared" si="63"/>
        <v>0</v>
      </c>
    </row>
    <row r="401" spans="1:24" ht="15" customHeight="1" hidden="1">
      <c r="A401" s="43"/>
      <c r="B401" s="118" t="s">
        <v>96</v>
      </c>
      <c r="C401" s="118" t="s">
        <v>97</v>
      </c>
      <c r="D401" s="118" t="s">
        <v>98</v>
      </c>
      <c r="E401" s="118" t="s">
        <v>99</v>
      </c>
      <c r="F401" s="118" t="s">
        <v>100</v>
      </c>
      <c r="G401" s="118" t="s">
        <v>101</v>
      </c>
      <c r="H401" s="118" t="s">
        <v>90</v>
      </c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104">
        <f t="shared" si="62"/>
        <v>0</v>
      </c>
      <c r="X401" s="104">
        <f t="shared" si="63"/>
        <v>0</v>
      </c>
    </row>
    <row r="402" spans="1:24" ht="15" customHeight="1" hidden="1">
      <c r="A402" s="43"/>
      <c r="B402" s="118" t="s">
        <v>103</v>
      </c>
      <c r="C402" s="118"/>
      <c r="D402" s="118"/>
      <c r="E402" s="58"/>
      <c r="F402" s="58"/>
      <c r="G402" s="58"/>
      <c r="H402" s="58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104">
        <f t="shared" si="62"/>
        <v>0</v>
      </c>
      <c r="X402" s="104">
        <f t="shared" si="63"/>
        <v>0</v>
      </c>
    </row>
    <row r="403" spans="1:24" ht="15" customHeight="1" hidden="1">
      <c r="A403" s="43"/>
      <c r="B403" s="118" t="s">
        <v>104</v>
      </c>
      <c r="C403" s="118"/>
      <c r="D403" s="118"/>
      <c r="E403" s="58"/>
      <c r="F403" s="58"/>
      <c r="G403" s="58"/>
      <c r="H403" s="58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104">
        <f t="shared" si="62"/>
        <v>0</v>
      </c>
      <c r="X403" s="104">
        <f t="shared" si="63"/>
        <v>0</v>
      </c>
    </row>
    <row r="404" spans="1:24" ht="15" customHeight="1" hidden="1">
      <c r="A404" s="43"/>
      <c r="B404" s="118" t="s">
        <v>105</v>
      </c>
      <c r="C404" s="118"/>
      <c r="D404" s="118"/>
      <c r="E404" s="58"/>
      <c r="F404" s="58"/>
      <c r="G404" s="58"/>
      <c r="H404" s="58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104">
        <f t="shared" si="62"/>
        <v>0</v>
      </c>
      <c r="X404" s="104">
        <f t="shared" si="63"/>
        <v>0</v>
      </c>
    </row>
    <row r="405" spans="1:24" ht="15" customHeight="1" hidden="1">
      <c r="A405" s="43"/>
      <c r="B405" s="118" t="s">
        <v>106</v>
      </c>
      <c r="C405" s="118"/>
      <c r="D405" s="118"/>
      <c r="E405" s="58"/>
      <c r="F405" s="58"/>
      <c r="G405" s="58"/>
      <c r="H405" s="58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104">
        <f t="shared" si="62"/>
        <v>0</v>
      </c>
      <c r="X405" s="104">
        <f t="shared" si="63"/>
        <v>0</v>
      </c>
    </row>
    <row r="406" spans="1:24" ht="15" customHeight="1" hidden="1">
      <c r="A406" s="43"/>
      <c r="B406" s="44" t="s">
        <v>107</v>
      </c>
      <c r="C406" s="44"/>
      <c r="D406" s="44"/>
      <c r="E406" s="60"/>
      <c r="F406" s="60"/>
      <c r="G406" s="60">
        <v>267.78</v>
      </c>
      <c r="H406" s="60">
        <v>633426.08</v>
      </c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104">
        <f t="shared" si="62"/>
        <v>0</v>
      </c>
      <c r="X406" s="104">
        <f t="shared" si="63"/>
        <v>0</v>
      </c>
    </row>
    <row r="407" spans="1:24" ht="15" customHeight="1" hidden="1">
      <c r="A407" s="43"/>
      <c r="B407" s="44" t="s">
        <v>108</v>
      </c>
      <c r="C407" s="44"/>
      <c r="D407" s="44"/>
      <c r="E407" s="60"/>
      <c r="F407" s="60"/>
      <c r="G407" s="61">
        <v>253.763</v>
      </c>
      <c r="H407" s="93">
        <v>605660.01</v>
      </c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104">
        <f t="shared" si="62"/>
        <v>0</v>
      </c>
      <c r="X407" s="104">
        <f t="shared" si="63"/>
        <v>0</v>
      </c>
    </row>
    <row r="408" spans="1:24" ht="15" customHeight="1" hidden="1">
      <c r="A408" s="43"/>
      <c r="B408" s="176" t="s">
        <v>109</v>
      </c>
      <c r="C408" s="170" t="s">
        <v>81</v>
      </c>
      <c r="D408" s="171"/>
      <c r="E408" s="171"/>
      <c r="F408" s="171"/>
      <c r="G408" s="171"/>
      <c r="H408" s="172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104">
        <f t="shared" si="62"/>
        <v>0</v>
      </c>
      <c r="X408" s="104">
        <f t="shared" si="63"/>
        <v>0</v>
      </c>
    </row>
    <row r="409" spans="1:24" ht="15" customHeight="1" hidden="1">
      <c r="A409" s="43"/>
      <c r="B409" s="177"/>
      <c r="C409" s="170">
        <v>2103.15</v>
      </c>
      <c r="D409" s="171"/>
      <c r="E409" s="171"/>
      <c r="F409" s="171"/>
      <c r="G409" s="171"/>
      <c r="H409" s="172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104">
        <f aca="true" t="shared" si="70" ref="W409:W454">O409*$W$456/$O$456</f>
        <v>0</v>
      </c>
      <c r="X409" s="104">
        <f aca="true" t="shared" si="71" ref="X409:X454">O409*$X$456/$O$456</f>
        <v>0</v>
      </c>
    </row>
    <row r="410" spans="1:24" ht="15" customHeight="1" hidden="1">
      <c r="A410" s="43"/>
      <c r="B410" s="177"/>
      <c r="C410" s="170" t="s">
        <v>93</v>
      </c>
      <c r="D410" s="171"/>
      <c r="E410" s="171"/>
      <c r="F410" s="171"/>
      <c r="G410" s="171"/>
      <c r="H410" s="172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104">
        <f t="shared" si="70"/>
        <v>0</v>
      </c>
      <c r="X410" s="104">
        <f t="shared" si="71"/>
        <v>0</v>
      </c>
    </row>
    <row r="411" spans="1:24" ht="15" customHeight="1" hidden="1">
      <c r="A411" s="43"/>
      <c r="B411" s="178"/>
      <c r="C411" s="173">
        <f>C409*1.18</f>
        <v>2481.717</v>
      </c>
      <c r="D411" s="174"/>
      <c r="E411" s="174"/>
      <c r="F411" s="174"/>
      <c r="G411" s="174"/>
      <c r="H411" s="175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104">
        <f t="shared" si="70"/>
        <v>0</v>
      </c>
      <c r="X411" s="104">
        <f t="shared" si="71"/>
        <v>0</v>
      </c>
    </row>
    <row r="412" spans="1:24" ht="15" customHeight="1" hidden="1">
      <c r="A412" s="43"/>
      <c r="B412" s="44" t="s">
        <v>111</v>
      </c>
      <c r="C412" s="44"/>
      <c r="D412" s="44"/>
      <c r="E412" s="60"/>
      <c r="F412" s="67"/>
      <c r="G412" s="61">
        <v>250.81</v>
      </c>
      <c r="H412" s="69">
        <v>622439.45</v>
      </c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104">
        <f t="shared" si="70"/>
        <v>0</v>
      </c>
      <c r="X412" s="104">
        <f t="shared" si="71"/>
        <v>0</v>
      </c>
    </row>
    <row r="413" spans="1:24" ht="15" customHeight="1" hidden="1">
      <c r="A413" s="43"/>
      <c r="B413" s="44" t="s">
        <v>112</v>
      </c>
      <c r="C413" s="44"/>
      <c r="D413" s="44"/>
      <c r="E413" s="60"/>
      <c r="F413" s="67"/>
      <c r="G413" s="62">
        <v>233.633</v>
      </c>
      <c r="H413" s="69">
        <v>579810.99</v>
      </c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104">
        <f t="shared" si="70"/>
        <v>0</v>
      </c>
      <c r="X413" s="104">
        <f t="shared" si="71"/>
        <v>0</v>
      </c>
    </row>
    <row r="414" spans="1:24" ht="15" customHeight="1" hidden="1">
      <c r="A414" s="43"/>
      <c r="B414" s="44" t="s">
        <v>113</v>
      </c>
      <c r="C414" s="44"/>
      <c r="D414" s="44"/>
      <c r="E414" s="60"/>
      <c r="F414" s="67"/>
      <c r="G414" s="62">
        <v>226.371</v>
      </c>
      <c r="H414" s="69">
        <v>661057.45</v>
      </c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104">
        <f t="shared" si="70"/>
        <v>0</v>
      </c>
      <c r="X414" s="104">
        <f t="shared" si="71"/>
        <v>0</v>
      </c>
    </row>
    <row r="415" spans="1:24" ht="15" customHeight="1" hidden="1">
      <c r="A415" s="43"/>
      <c r="B415" s="44" t="s">
        <v>114</v>
      </c>
      <c r="C415" s="44"/>
      <c r="D415" s="44"/>
      <c r="E415" s="60"/>
      <c r="F415" s="67"/>
      <c r="G415" s="62">
        <v>133.27</v>
      </c>
      <c r="H415" s="69">
        <v>330738.42</v>
      </c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104">
        <f t="shared" si="70"/>
        <v>0</v>
      </c>
      <c r="X415" s="104">
        <f t="shared" si="71"/>
        <v>0</v>
      </c>
    </row>
    <row r="416" spans="1:24" ht="15" customHeight="1" hidden="1">
      <c r="A416" s="43"/>
      <c r="B416" s="44" t="s">
        <v>115</v>
      </c>
      <c r="C416" s="44"/>
      <c r="D416" s="44"/>
      <c r="E416" s="60"/>
      <c r="F416" s="67"/>
      <c r="G416" s="62">
        <v>133.27</v>
      </c>
      <c r="H416" s="69">
        <v>330738.42</v>
      </c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104">
        <f t="shared" si="70"/>
        <v>0</v>
      </c>
      <c r="X416" s="104">
        <f t="shared" si="71"/>
        <v>0</v>
      </c>
    </row>
    <row r="417" spans="1:24" ht="15.75" hidden="1">
      <c r="A417" s="43"/>
      <c r="B417" s="44" t="s">
        <v>116</v>
      </c>
      <c r="C417" s="44"/>
      <c r="D417" s="44"/>
      <c r="E417" s="60"/>
      <c r="F417" s="67"/>
      <c r="G417" s="62">
        <v>133.27</v>
      </c>
      <c r="H417" s="69">
        <v>330738.42</v>
      </c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104">
        <f t="shared" si="70"/>
        <v>0</v>
      </c>
      <c r="X417" s="104">
        <f t="shared" si="71"/>
        <v>0</v>
      </c>
    </row>
    <row r="418" spans="1:24" ht="15.75" hidden="1">
      <c r="A418" s="43"/>
      <c r="B418" s="118" t="s">
        <v>117</v>
      </c>
      <c r="C418" s="124">
        <f aca="true" t="shared" si="72" ref="C418:H418">C417+C416+C415+C414+C413+C412+C407+C406+C405+C404+C403+C402</f>
        <v>0</v>
      </c>
      <c r="D418" s="124">
        <f t="shared" si="72"/>
        <v>0</v>
      </c>
      <c r="E418" s="124">
        <f t="shared" si="72"/>
        <v>0</v>
      </c>
      <c r="F418" s="124" t="s">
        <v>150</v>
      </c>
      <c r="G418" s="124">
        <f t="shared" si="72"/>
        <v>1632.167</v>
      </c>
      <c r="H418" s="124">
        <f t="shared" si="72"/>
        <v>4094609.24</v>
      </c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104">
        <f t="shared" si="70"/>
        <v>0</v>
      </c>
      <c r="X418" s="104">
        <f t="shared" si="71"/>
        <v>0</v>
      </c>
    </row>
    <row r="419" spans="1:24" ht="15.75" hidden="1">
      <c r="A419" s="94"/>
      <c r="B419" s="71"/>
      <c r="C419" s="71"/>
      <c r="D419" s="71"/>
      <c r="E419" s="71"/>
      <c r="F419" s="95"/>
      <c r="G419" s="71"/>
      <c r="H419" s="71"/>
      <c r="I419" s="71"/>
      <c r="J419" s="71"/>
      <c r="K419" s="71"/>
      <c r="L419" s="71"/>
      <c r="M419" s="71"/>
      <c r="N419" s="71"/>
      <c r="O419" s="71"/>
      <c r="P419" s="96"/>
      <c r="Q419" s="71"/>
      <c r="R419" s="71"/>
      <c r="S419" s="71"/>
      <c r="T419" s="71"/>
      <c r="U419" s="71"/>
      <c r="V419" s="71"/>
      <c r="W419" s="104">
        <f t="shared" si="70"/>
        <v>0</v>
      </c>
      <c r="X419" s="104">
        <f t="shared" si="71"/>
        <v>0</v>
      </c>
    </row>
    <row r="420" spans="1:24" ht="15.75" hidden="1">
      <c r="A420" s="94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96"/>
      <c r="Q420" s="71"/>
      <c r="R420" s="71"/>
      <c r="S420" s="71"/>
      <c r="T420" s="71"/>
      <c r="U420" s="71"/>
      <c r="V420" s="71"/>
      <c r="W420" s="104">
        <f t="shared" si="70"/>
        <v>0</v>
      </c>
      <c r="X420" s="104">
        <f t="shared" si="71"/>
        <v>0</v>
      </c>
    </row>
    <row r="421" spans="1:24" ht="15.75" hidden="1">
      <c r="A421" s="94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96"/>
      <c r="Q421" s="71"/>
      <c r="R421" s="71"/>
      <c r="S421" s="71"/>
      <c r="T421" s="71"/>
      <c r="U421" s="71"/>
      <c r="V421" s="71"/>
      <c r="W421" s="104">
        <f t="shared" si="70"/>
        <v>0</v>
      </c>
      <c r="X421" s="104">
        <f t="shared" si="71"/>
        <v>0</v>
      </c>
    </row>
    <row r="422" spans="1:24" ht="47.25" hidden="1">
      <c r="A422" s="94"/>
      <c r="B422" s="118" t="s">
        <v>96</v>
      </c>
      <c r="C422" s="118" t="s">
        <v>99</v>
      </c>
      <c r="D422" s="118" t="s">
        <v>100</v>
      </c>
      <c r="E422" s="118" t="s">
        <v>101</v>
      </c>
      <c r="F422" s="118" t="s">
        <v>151</v>
      </c>
      <c r="G422" s="118" t="s">
        <v>152</v>
      </c>
      <c r="H422" s="118" t="s">
        <v>171</v>
      </c>
      <c r="I422" s="118" t="s">
        <v>102</v>
      </c>
      <c r="J422" s="118" t="s">
        <v>153</v>
      </c>
      <c r="K422" s="118" t="s">
        <v>90</v>
      </c>
      <c r="L422" s="118"/>
      <c r="M422" s="118"/>
      <c r="N422" s="118"/>
      <c r="O422" s="118"/>
      <c r="P422" s="119"/>
      <c r="Q422" s="118"/>
      <c r="R422" s="71"/>
      <c r="S422" s="71"/>
      <c r="T422" s="71"/>
      <c r="U422" s="71"/>
      <c r="V422" s="71"/>
      <c r="W422" s="104">
        <f t="shared" si="70"/>
        <v>0</v>
      </c>
      <c r="X422" s="104">
        <f t="shared" si="71"/>
        <v>0</v>
      </c>
    </row>
    <row r="423" spans="1:24" ht="15.75" hidden="1">
      <c r="A423" s="94"/>
      <c r="B423" s="118" t="s">
        <v>103</v>
      </c>
      <c r="C423" s="59">
        <v>1002.259</v>
      </c>
      <c r="D423" s="59">
        <f>4414.18+19.4331</f>
        <v>4433.6131000000005</v>
      </c>
      <c r="E423" s="59">
        <f aca="true" t="shared" si="73" ref="E423:E433">D423+C423</f>
        <v>5435.8721000000005</v>
      </c>
      <c r="F423" s="97">
        <f>H402+H379+H355+H332+H309+H286+H263+H240+H216+H193+H170+H146+H123+H100+H77+H54+H31+H8</f>
        <v>12973875.698072001</v>
      </c>
      <c r="G423" s="98">
        <v>12885448.4</v>
      </c>
      <c r="H423" s="120">
        <v>10123</v>
      </c>
      <c r="I423" s="120">
        <v>6871</v>
      </c>
      <c r="J423" s="120">
        <f aca="true" t="shared" si="74" ref="J423:J432">I423+H423</f>
        <v>16994</v>
      </c>
      <c r="K423" s="120">
        <v>833535.54</v>
      </c>
      <c r="L423" s="120">
        <f aca="true" t="shared" si="75" ref="L423:L428">K379+K355+K332+K309+K286+K263+K240+K216+K193+K170+K146+K123+K100+K77+K54+K31+K8</f>
        <v>833535.5499999999</v>
      </c>
      <c r="M423" s="124"/>
      <c r="N423" s="124"/>
      <c r="O423" s="120">
        <v>437491.8</v>
      </c>
      <c r="P423" s="121">
        <v>3.20931</v>
      </c>
      <c r="Q423" s="120">
        <f aca="true" t="shared" si="76" ref="Q423:Q428">P423*O423</f>
        <v>1404046.8086579998</v>
      </c>
      <c r="R423" s="71"/>
      <c r="S423" s="71"/>
      <c r="T423" s="71"/>
      <c r="U423" s="71"/>
      <c r="V423" s="71"/>
      <c r="W423" s="104">
        <f t="shared" si="70"/>
        <v>4010.3478639934356</v>
      </c>
      <c r="X423" s="104">
        <f t="shared" si="71"/>
        <v>2363.277562672406</v>
      </c>
    </row>
    <row r="424" spans="1:24" ht="15.75" hidden="1">
      <c r="A424" s="94"/>
      <c r="B424" s="118" t="s">
        <v>104</v>
      </c>
      <c r="C424" s="59">
        <v>741.913</v>
      </c>
      <c r="D424" s="59">
        <v>3741.987</v>
      </c>
      <c r="E424" s="59">
        <f t="shared" si="73"/>
        <v>4483.9</v>
      </c>
      <c r="F424" s="97">
        <f>H403+H380+H356+H333+H310+H287+H264+H241+H217+H194+H171+H147+H124+H101+H78+H55+H32+H9</f>
        <v>10701792.63</v>
      </c>
      <c r="G424" s="98">
        <v>10627175.18</v>
      </c>
      <c r="H424" s="55">
        <v>9814</v>
      </c>
      <c r="I424" s="55">
        <v>6884</v>
      </c>
      <c r="J424" s="55">
        <f t="shared" si="74"/>
        <v>16698</v>
      </c>
      <c r="K424" s="55">
        <v>819017.35</v>
      </c>
      <c r="L424" s="55">
        <f t="shared" si="75"/>
        <v>819016.8300000001</v>
      </c>
      <c r="M424" s="124"/>
      <c r="N424" s="124"/>
      <c r="O424" s="120">
        <v>404572.5</v>
      </c>
      <c r="P424" s="121">
        <v>3.39007</v>
      </c>
      <c r="Q424" s="120">
        <f t="shared" si="76"/>
        <v>1371529.095075</v>
      </c>
      <c r="R424" s="71"/>
      <c r="S424" s="71"/>
      <c r="T424" s="71"/>
      <c r="U424" s="71"/>
      <c r="V424" s="71"/>
      <c r="W424" s="104">
        <f t="shared" si="70"/>
        <v>3708.587135131411</v>
      </c>
      <c r="X424" s="104">
        <f t="shared" si="71"/>
        <v>2185.4515026893805</v>
      </c>
    </row>
    <row r="425" spans="1:24" ht="15.75" hidden="1">
      <c r="A425" s="94"/>
      <c r="B425" s="118" t="s">
        <v>105</v>
      </c>
      <c r="C425" s="59">
        <v>922.461</v>
      </c>
      <c r="D425" s="59">
        <f>21.1478+4810.62</f>
        <v>4831.7678</v>
      </c>
      <c r="E425" s="59">
        <f t="shared" si="73"/>
        <v>5754.2288</v>
      </c>
      <c r="F425" s="97">
        <f>H404+H381+H357+H334+H311+H288+H265+H242+H218+H195+H172+H148+H125+H102+H79+H56+H33+H10</f>
        <v>13703652.939999998</v>
      </c>
      <c r="G425" s="98">
        <v>13315788.87</v>
      </c>
      <c r="H425" s="120">
        <v>10127.01</v>
      </c>
      <c r="I425" s="120">
        <v>8253.99</v>
      </c>
      <c r="J425" s="120">
        <f t="shared" si="74"/>
        <v>18381</v>
      </c>
      <c r="K425" s="120">
        <v>901566.39</v>
      </c>
      <c r="L425" s="120">
        <f t="shared" si="75"/>
        <v>901566.39</v>
      </c>
      <c r="M425" s="124"/>
      <c r="N425" s="124"/>
      <c r="O425" s="120">
        <v>439168.5</v>
      </c>
      <c r="P425" s="121">
        <v>3.39864</v>
      </c>
      <c r="Q425" s="120">
        <f t="shared" si="76"/>
        <v>1492575.63084</v>
      </c>
      <c r="R425" s="71"/>
      <c r="S425" s="71"/>
      <c r="T425" s="71"/>
      <c r="U425" s="71"/>
      <c r="V425" s="71"/>
      <c r="W425" s="104">
        <f t="shared" si="70"/>
        <v>4025.717638383625</v>
      </c>
      <c r="X425" s="104">
        <f t="shared" si="71"/>
        <v>2372.334892408261</v>
      </c>
    </row>
    <row r="426" spans="1:24" ht="15.75" hidden="1">
      <c r="A426" s="94"/>
      <c r="B426" s="118" t="s">
        <v>106</v>
      </c>
      <c r="C426" s="59">
        <v>439.071</v>
      </c>
      <c r="D426" s="59">
        <f>26.1478+1824.72</f>
        <v>1850.8678</v>
      </c>
      <c r="E426" s="59">
        <f t="shared" si="73"/>
        <v>2289.9388</v>
      </c>
      <c r="F426" s="97">
        <f>H405+H382+H358+H335+H312+H289+H266+H243+H219+H196+H173+H149+H126+H103+H80+H57+H34+H11</f>
        <v>5331660.94</v>
      </c>
      <c r="G426" s="98">
        <v>5294884.72</v>
      </c>
      <c r="H426" s="120">
        <v>10231</v>
      </c>
      <c r="I426" s="120">
        <v>9954</v>
      </c>
      <c r="J426" s="120">
        <f t="shared" si="74"/>
        <v>20185</v>
      </c>
      <c r="K426" s="120">
        <v>990050.51</v>
      </c>
      <c r="L426" s="120">
        <f t="shared" si="75"/>
        <v>990050.02</v>
      </c>
      <c r="M426" s="124"/>
      <c r="N426" s="124"/>
      <c r="O426" s="120">
        <v>333765.9</v>
      </c>
      <c r="P426" s="121">
        <v>3.31733</v>
      </c>
      <c r="Q426" s="120">
        <f t="shared" si="76"/>
        <v>1107211.633047</v>
      </c>
      <c r="R426" s="71"/>
      <c r="S426" s="71"/>
      <c r="T426" s="71"/>
      <c r="U426" s="71"/>
      <c r="V426" s="71"/>
      <c r="W426" s="104">
        <f t="shared" si="70"/>
        <v>3059.5256051401348</v>
      </c>
      <c r="X426" s="104">
        <f t="shared" si="71"/>
        <v>1802.9628501726481</v>
      </c>
    </row>
    <row r="427" spans="1:24" ht="15.75" hidden="1">
      <c r="A427" s="94"/>
      <c r="B427" s="118" t="s">
        <v>107</v>
      </c>
      <c r="C427" s="59"/>
      <c r="D427" s="59">
        <v>267.78</v>
      </c>
      <c r="E427" s="59">
        <f t="shared" si="73"/>
        <v>267.78</v>
      </c>
      <c r="F427" s="55">
        <f>H383+H359+H336+H313+H290+H267+H244+H220+H197+H174+H150+H127+H104+H81+H58+H35+H12</f>
        <v>706868.18</v>
      </c>
      <c r="G427" s="99">
        <v>701184.92</v>
      </c>
      <c r="H427" s="120">
        <v>7082</v>
      </c>
      <c r="I427" s="120">
        <v>14963.21</v>
      </c>
      <c r="J427" s="120">
        <f t="shared" si="74"/>
        <v>22045.21</v>
      </c>
      <c r="K427" s="120">
        <v>1081291.77</v>
      </c>
      <c r="L427" s="120">
        <f t="shared" si="75"/>
        <v>1081291.7599999998</v>
      </c>
      <c r="M427" s="124"/>
      <c r="N427" s="124"/>
      <c r="O427" s="120">
        <v>150903.9</v>
      </c>
      <c r="P427" s="121">
        <v>3.40847</v>
      </c>
      <c r="Q427" s="120">
        <f t="shared" si="76"/>
        <v>514351.416033</v>
      </c>
      <c r="R427" s="71"/>
      <c r="S427" s="71"/>
      <c r="T427" s="71"/>
      <c r="U427" s="71"/>
      <c r="V427" s="71"/>
      <c r="W427" s="104">
        <f t="shared" si="70"/>
        <v>1383.2879451301237</v>
      </c>
      <c r="X427" s="104">
        <f t="shared" si="71"/>
        <v>815.164537917649</v>
      </c>
    </row>
    <row r="428" spans="1:24" ht="15.75" hidden="1">
      <c r="A428" s="94"/>
      <c r="B428" s="118" t="s">
        <v>108</v>
      </c>
      <c r="C428" s="59"/>
      <c r="D428" s="59">
        <v>253.763</v>
      </c>
      <c r="E428" s="59">
        <v>253.763</v>
      </c>
      <c r="F428" s="120">
        <f>H384+H360+H337+H314+H291+H268+H245+H221+H198+H175+H151+H128+H105+H82+H59+H36+H13</f>
        <v>605660.01</v>
      </c>
      <c r="G428" s="93">
        <v>605660.01</v>
      </c>
      <c r="H428" s="120">
        <v>7982</v>
      </c>
      <c r="I428" s="120">
        <v>12546.67</v>
      </c>
      <c r="J428" s="120">
        <f t="shared" si="74"/>
        <v>20528.67</v>
      </c>
      <c r="K428" s="120">
        <v>1006907.1</v>
      </c>
      <c r="L428" s="120">
        <f t="shared" si="75"/>
        <v>1006907.11</v>
      </c>
      <c r="M428" s="124"/>
      <c r="N428" s="124"/>
      <c r="O428" s="120">
        <v>156576.6</v>
      </c>
      <c r="P428" s="121">
        <v>3.44841</v>
      </c>
      <c r="Q428" s="120">
        <f t="shared" si="76"/>
        <v>539940.313206</v>
      </c>
      <c r="R428" s="71"/>
      <c r="S428" s="71"/>
      <c r="T428" s="71"/>
      <c r="U428" s="71"/>
      <c r="V428" s="71"/>
      <c r="W428" s="104">
        <f t="shared" si="70"/>
        <v>1435.2877776483</v>
      </c>
      <c r="X428" s="104">
        <f t="shared" si="71"/>
        <v>845.8077742703572</v>
      </c>
    </row>
    <row r="429" spans="1:24" ht="15.75" hidden="1">
      <c r="A429" s="94"/>
      <c r="B429" s="118" t="s">
        <v>111</v>
      </c>
      <c r="C429" s="59"/>
      <c r="D429" s="59">
        <v>250.81</v>
      </c>
      <c r="E429" s="59">
        <v>250.81</v>
      </c>
      <c r="F429" s="120">
        <f aca="true" t="shared" si="77" ref="F429:F434">H389+H365+H342+H319+H296+H273+H250+H226+H203+H180+H156+H133+H110+H87+H64+H41+H18</f>
        <v>622439.45</v>
      </c>
      <c r="G429" s="69">
        <v>622439.45</v>
      </c>
      <c r="H429" s="124">
        <v>6190</v>
      </c>
      <c r="I429" s="55">
        <v>14782.13</v>
      </c>
      <c r="J429" s="55">
        <f t="shared" si="74"/>
        <v>20972.129999999997</v>
      </c>
      <c r="K429" s="55">
        <v>1082442.67</v>
      </c>
      <c r="L429" s="55">
        <f aca="true" t="shared" si="78" ref="L429:L434">K389+K365+K342+K319+K296+K273+K250+K226+K203+K180+K156+K133+K110+K87+K64+K41+K18</f>
        <v>1082432.6700000002</v>
      </c>
      <c r="M429" s="124"/>
      <c r="N429" s="124"/>
      <c r="O429" s="120">
        <v>165133.8</v>
      </c>
      <c r="P429" s="121">
        <v>4.06379</v>
      </c>
      <c r="Q429" s="120">
        <f>P429*O429</f>
        <v>671069.0851019999</v>
      </c>
      <c r="R429" s="71"/>
      <c r="S429" s="71"/>
      <c r="T429" s="71"/>
      <c r="U429" s="71"/>
      <c r="V429" s="71"/>
      <c r="W429" s="104">
        <f t="shared" si="70"/>
        <v>1513.7289021259808</v>
      </c>
      <c r="X429" s="104">
        <f t="shared" si="71"/>
        <v>892.0327292507711</v>
      </c>
    </row>
    <row r="430" spans="1:24" ht="15.75" hidden="1">
      <c r="A430" s="94"/>
      <c r="B430" s="118" t="s">
        <v>112</v>
      </c>
      <c r="C430" s="59"/>
      <c r="D430" s="59">
        <v>233.633</v>
      </c>
      <c r="E430" s="75">
        <v>233.633</v>
      </c>
      <c r="F430" s="120">
        <f t="shared" si="77"/>
        <v>579810.99</v>
      </c>
      <c r="G430" s="69">
        <v>579810.99</v>
      </c>
      <c r="H430" s="124">
        <v>6229</v>
      </c>
      <c r="I430" s="120">
        <v>13578.56</v>
      </c>
      <c r="J430" s="120">
        <f t="shared" si="74"/>
        <v>19807.559999999998</v>
      </c>
      <c r="K430" s="120">
        <v>1022335.54</v>
      </c>
      <c r="L430" s="120">
        <f t="shared" si="78"/>
        <v>1022335.54</v>
      </c>
      <c r="M430" s="124"/>
      <c r="N430" s="124"/>
      <c r="O430" s="120">
        <v>155835.9</v>
      </c>
      <c r="P430" s="121">
        <v>4.14442</v>
      </c>
      <c r="Q430" s="120">
        <f>P430*O430</f>
        <v>645849.420678</v>
      </c>
      <c r="R430" s="71"/>
      <c r="S430" s="71"/>
      <c r="T430" s="71"/>
      <c r="U430" s="71"/>
      <c r="V430" s="71"/>
      <c r="W430" s="104">
        <f t="shared" si="70"/>
        <v>1428.4980168736756</v>
      </c>
      <c r="X430" s="104">
        <f t="shared" si="71"/>
        <v>841.8066028411522</v>
      </c>
    </row>
    <row r="431" spans="1:24" ht="15.75" hidden="1">
      <c r="A431" s="94"/>
      <c r="B431" s="118" t="s">
        <v>113</v>
      </c>
      <c r="C431" s="59"/>
      <c r="D431" s="75">
        <v>226.371</v>
      </c>
      <c r="E431" s="59">
        <f t="shared" si="73"/>
        <v>226.371</v>
      </c>
      <c r="F431" s="120">
        <f t="shared" si="77"/>
        <v>661057.2</v>
      </c>
      <c r="G431" s="69">
        <v>661057.45</v>
      </c>
      <c r="H431" s="120">
        <v>8448</v>
      </c>
      <c r="I431" s="120">
        <v>8411.26</v>
      </c>
      <c r="J431" s="120">
        <f t="shared" si="74"/>
        <v>16859.260000000002</v>
      </c>
      <c r="K431" s="120">
        <v>870163.69</v>
      </c>
      <c r="L431" s="120">
        <f t="shared" si="78"/>
        <v>870163.6799999999</v>
      </c>
      <c r="M431" s="124"/>
      <c r="N431" s="124"/>
      <c r="O431" s="120">
        <v>169056</v>
      </c>
      <c r="P431" s="121">
        <v>3.75833</v>
      </c>
      <c r="Q431" s="120">
        <f>P431*O431</f>
        <v>635368.23648</v>
      </c>
      <c r="R431" s="71"/>
      <c r="S431" s="71"/>
      <c r="T431" s="71"/>
      <c r="U431" s="71"/>
      <c r="V431" s="71"/>
      <c r="W431" s="104">
        <f t="shared" si="70"/>
        <v>1549.6824591804334</v>
      </c>
      <c r="X431" s="104">
        <f t="shared" si="71"/>
        <v>913.2199772319076</v>
      </c>
    </row>
    <row r="432" spans="1:24" ht="15.75" hidden="1">
      <c r="A432" s="94"/>
      <c r="B432" s="118" t="s">
        <v>114</v>
      </c>
      <c r="C432" s="59">
        <f>333.744+3007.007-D432</f>
        <v>3115.963</v>
      </c>
      <c r="D432" s="59">
        <v>224.788</v>
      </c>
      <c r="E432" s="59">
        <f t="shared" si="73"/>
        <v>3340.751</v>
      </c>
      <c r="F432" s="120">
        <f t="shared" si="77"/>
        <v>8290798.54</v>
      </c>
      <c r="G432" s="69">
        <f>828258.16+7462540.37</f>
        <v>8290798.53</v>
      </c>
      <c r="H432" s="120">
        <v>9137</v>
      </c>
      <c r="I432" s="120">
        <v>11622.76</v>
      </c>
      <c r="J432" s="120">
        <f t="shared" si="74"/>
        <v>20759.760000000002</v>
      </c>
      <c r="K432" s="120">
        <v>1071481.36</v>
      </c>
      <c r="L432" s="120">
        <f t="shared" si="78"/>
        <v>1071481.35</v>
      </c>
      <c r="M432" s="124"/>
      <c r="N432" s="124"/>
      <c r="O432" s="120">
        <v>392405.4</v>
      </c>
      <c r="P432" s="121">
        <v>3.19572</v>
      </c>
      <c r="Q432" s="120">
        <f>P432*O432</f>
        <v>1254017.7848880002</v>
      </c>
      <c r="R432" s="71"/>
      <c r="S432" s="71"/>
      <c r="T432" s="71"/>
      <c r="U432" s="71"/>
      <c r="V432" s="71"/>
      <c r="W432" s="104">
        <f t="shared" si="70"/>
        <v>3597.055208142164</v>
      </c>
      <c r="X432" s="104">
        <f t="shared" si="71"/>
        <v>2119.7263063936066</v>
      </c>
    </row>
    <row r="433" spans="1:24" ht="15.75" hidden="1">
      <c r="A433" s="94"/>
      <c r="B433" s="118" t="s">
        <v>115</v>
      </c>
      <c r="C433" s="59">
        <f>505.981+133.27+2836.143</f>
        <v>3475.3940000000002</v>
      </c>
      <c r="D433" s="59">
        <v>236.07</v>
      </c>
      <c r="E433" s="59">
        <f t="shared" si="73"/>
        <v>3711.4640000000004</v>
      </c>
      <c r="F433" s="120">
        <f t="shared" si="77"/>
        <v>8880063.61</v>
      </c>
      <c r="G433" s="69">
        <f>1255700.41+7624363.17</f>
        <v>8880063.58</v>
      </c>
      <c r="H433" s="120">
        <v>10006</v>
      </c>
      <c r="I433" s="120">
        <v>10278.16</v>
      </c>
      <c r="J433" s="120">
        <f>I433+H433</f>
        <v>20284.16</v>
      </c>
      <c r="K433" s="120">
        <v>1046934.17</v>
      </c>
      <c r="L433" s="120">
        <f t="shared" si="78"/>
        <v>1046934.1699999999</v>
      </c>
      <c r="M433" s="124"/>
      <c r="N433" s="124"/>
      <c r="O433" s="124"/>
      <c r="P433" s="78"/>
      <c r="Q433" s="124"/>
      <c r="R433" s="71"/>
      <c r="S433" s="71"/>
      <c r="T433" s="71"/>
      <c r="U433" s="71"/>
      <c r="V433" s="71"/>
      <c r="W433" s="104">
        <f t="shared" si="70"/>
        <v>0</v>
      </c>
      <c r="X433" s="104">
        <f t="shared" si="71"/>
        <v>0</v>
      </c>
    </row>
    <row r="434" spans="1:24" ht="15.75" hidden="1">
      <c r="A434" s="94"/>
      <c r="B434" s="118" t="s">
        <v>116</v>
      </c>
      <c r="C434" s="59">
        <f>709.337+133.27+3470.185</f>
        <v>4312.7919999999995</v>
      </c>
      <c r="D434" s="59">
        <v>301.756</v>
      </c>
      <c r="E434" s="59">
        <f>D434+C434</f>
        <v>4614.548</v>
      </c>
      <c r="F434" s="120">
        <f t="shared" si="77"/>
        <v>11121362.920000002</v>
      </c>
      <c r="G434" s="69">
        <f>1760472.46+9360890.45</f>
        <v>11121362.91</v>
      </c>
      <c r="H434" s="120">
        <v>9948</v>
      </c>
      <c r="I434" s="120">
        <v>10817.74</v>
      </c>
      <c r="J434" s="120">
        <f>I434+H434</f>
        <v>20765.739999999998</v>
      </c>
      <c r="K434" s="120">
        <v>1071790.13</v>
      </c>
      <c r="L434" s="120">
        <f t="shared" si="78"/>
        <v>1071790.9</v>
      </c>
      <c r="M434" s="124"/>
      <c r="N434" s="124"/>
      <c r="O434" s="124"/>
      <c r="P434" s="78"/>
      <c r="Q434" s="124"/>
      <c r="R434" s="71"/>
      <c r="S434" s="71"/>
      <c r="T434" s="71"/>
      <c r="U434" s="71"/>
      <c r="V434" s="71"/>
      <c r="W434" s="104">
        <f t="shared" si="70"/>
        <v>0</v>
      </c>
      <c r="X434" s="104">
        <f t="shared" si="71"/>
        <v>0</v>
      </c>
    </row>
    <row r="435" spans="1:24" ht="15.75" hidden="1">
      <c r="A435" s="94"/>
      <c r="B435" s="118" t="s">
        <v>117</v>
      </c>
      <c r="C435" s="59">
        <f>C434+C433+C432+C431+C430+C429+C428+C427+C426+C425+C424+C423</f>
        <v>14009.853</v>
      </c>
      <c r="D435" s="59">
        <f>D434+D433+D432+D431+D430+D429+D428+D427+D426+D425+D424+D423</f>
        <v>16853.206700000002</v>
      </c>
      <c r="E435" s="59">
        <f>E434+E433+E432+E431+E430+E429+E428+E427+E426+E425+E424+E423</f>
        <v>30863.059699999998</v>
      </c>
      <c r="F435" s="97">
        <f>SUM(F423:F434)</f>
        <v>74179043.10807201</v>
      </c>
      <c r="G435" s="97">
        <f aca="true" t="shared" si="79" ref="G435:O435">G434+G433+G432+G431+G430+G429+G428+G427+G426+G425+G424+G423</f>
        <v>73585675.01</v>
      </c>
      <c r="H435" s="124">
        <f>H434+H433+H432+H431+H430+H429+H428+H427+H426+H425+H424+H423</f>
        <v>105317.01</v>
      </c>
      <c r="I435" s="124">
        <f>I434+I433+I432+I431+I430+I429+I428+I427+I426+I425+I424+I423</f>
        <v>128963.48</v>
      </c>
      <c r="J435" s="124">
        <f t="shared" si="79"/>
        <v>234280.48999999996</v>
      </c>
      <c r="K435" s="124">
        <f t="shared" si="79"/>
        <v>11797516.219999999</v>
      </c>
      <c r="L435" s="124">
        <f>SUM(L423:L434)</f>
        <v>11797505.97</v>
      </c>
      <c r="M435" s="124">
        <f t="shared" si="79"/>
        <v>0</v>
      </c>
      <c r="N435" s="124">
        <f t="shared" si="79"/>
        <v>0</v>
      </c>
      <c r="O435" s="124">
        <f t="shared" si="79"/>
        <v>2804910.3</v>
      </c>
      <c r="P435" s="124"/>
      <c r="Q435" s="124">
        <f>Q434+Q433+Q432+Q431+Q430+Q429+Q428+Q427+Q426+Q425+Q424+Q423</f>
        <v>9635959.424007</v>
      </c>
      <c r="R435" s="71"/>
      <c r="S435" s="71"/>
      <c r="T435" s="71"/>
      <c r="U435" s="71"/>
      <c r="V435" s="71"/>
      <c r="W435" s="104">
        <f t="shared" si="70"/>
        <v>25711.71855174928</v>
      </c>
      <c r="X435" s="104">
        <f t="shared" si="71"/>
        <v>15151.784735848138</v>
      </c>
    </row>
    <row r="436" spans="1:24" ht="15.75" hidden="1">
      <c r="A436" s="94"/>
      <c r="B436" s="71"/>
      <c r="C436" s="71"/>
      <c r="D436" s="71"/>
      <c r="E436" s="71"/>
      <c r="F436" s="71"/>
      <c r="G436" s="71"/>
      <c r="H436" s="71"/>
      <c r="I436" s="100"/>
      <c r="J436" s="100"/>
      <c r="K436" s="100"/>
      <c r="L436" s="100"/>
      <c r="M436" s="100"/>
      <c r="N436" s="71"/>
      <c r="O436" s="71"/>
      <c r="P436" s="96"/>
      <c r="Q436" s="100"/>
      <c r="R436" s="71"/>
      <c r="S436" s="71"/>
      <c r="T436" s="71"/>
      <c r="U436" s="71"/>
      <c r="V436" s="71"/>
      <c r="W436" s="104">
        <f t="shared" si="70"/>
        <v>0</v>
      </c>
      <c r="X436" s="104">
        <f t="shared" si="71"/>
        <v>0</v>
      </c>
    </row>
    <row r="437" spans="1:24" ht="15.75" customHeight="1" hidden="1">
      <c r="A437" s="94"/>
      <c r="B437" s="179" t="s">
        <v>154</v>
      </c>
      <c r="C437" s="180"/>
      <c r="D437" s="180"/>
      <c r="E437" s="180"/>
      <c r="F437" s="180"/>
      <c r="G437" s="180"/>
      <c r="H437" s="180"/>
      <c r="I437" s="100"/>
      <c r="J437" s="100"/>
      <c r="K437" s="100"/>
      <c r="L437" s="100"/>
      <c r="M437" s="100"/>
      <c r="N437" s="71"/>
      <c r="O437" s="71"/>
      <c r="P437" s="96"/>
      <c r="Q437" s="100"/>
      <c r="R437" s="71"/>
      <c r="S437" s="71"/>
      <c r="T437" s="71"/>
      <c r="U437" s="71"/>
      <c r="V437" s="71"/>
      <c r="W437" s="104">
        <f t="shared" si="70"/>
        <v>0</v>
      </c>
      <c r="X437" s="104">
        <f t="shared" si="71"/>
        <v>0</v>
      </c>
    </row>
    <row r="438" spans="1:24" ht="63" hidden="1">
      <c r="A438" s="94"/>
      <c r="B438" s="53" t="s">
        <v>96</v>
      </c>
      <c r="C438" s="53" t="s">
        <v>155</v>
      </c>
      <c r="D438" s="53" t="s">
        <v>156</v>
      </c>
      <c r="E438" s="53" t="s">
        <v>157</v>
      </c>
      <c r="F438" s="53" t="s">
        <v>158</v>
      </c>
      <c r="G438" s="53" t="s">
        <v>159</v>
      </c>
      <c r="H438" s="53" t="s">
        <v>160</v>
      </c>
      <c r="I438" s="53" t="s">
        <v>161</v>
      </c>
      <c r="J438" s="100"/>
      <c r="K438" s="100"/>
      <c r="L438" s="100"/>
      <c r="M438" s="100"/>
      <c r="N438" s="71"/>
      <c r="O438" s="71"/>
      <c r="P438" s="96"/>
      <c r="Q438" s="100"/>
      <c r="R438" s="71"/>
      <c r="S438" s="71"/>
      <c r="T438" s="71"/>
      <c r="U438" s="71"/>
      <c r="V438" s="71"/>
      <c r="W438" s="104">
        <f t="shared" si="70"/>
        <v>0</v>
      </c>
      <c r="X438" s="104">
        <f t="shared" si="71"/>
        <v>0</v>
      </c>
    </row>
    <row r="439" spans="1:24" ht="15.75" hidden="1">
      <c r="A439" s="94"/>
      <c r="B439" s="70" t="s">
        <v>103</v>
      </c>
      <c r="C439" s="70">
        <v>5917.78</v>
      </c>
      <c r="D439" s="70">
        <v>6.44</v>
      </c>
      <c r="E439" s="70">
        <v>305.17</v>
      </c>
      <c r="F439" s="126">
        <f>C439-E439</f>
        <v>5612.61</v>
      </c>
      <c r="G439" s="70">
        <v>37.05</v>
      </c>
      <c r="H439" s="70">
        <v>5575.56</v>
      </c>
      <c r="I439" s="70">
        <f aca="true" t="shared" si="80" ref="I439:I450">C439-E439-G439</f>
        <v>5575.5599999999995</v>
      </c>
      <c r="J439" s="100"/>
      <c r="K439" s="100"/>
      <c r="L439" s="100"/>
      <c r="M439" s="100"/>
      <c r="N439" s="71"/>
      <c r="O439" s="71"/>
      <c r="P439" s="96"/>
      <c r="Q439" s="100"/>
      <c r="R439" s="71"/>
      <c r="S439" s="71"/>
      <c r="T439" s="71"/>
      <c r="U439" s="71"/>
      <c r="V439" s="71"/>
      <c r="W439" s="104">
        <f t="shared" si="70"/>
        <v>0</v>
      </c>
      <c r="X439" s="104">
        <f t="shared" si="71"/>
        <v>0</v>
      </c>
    </row>
    <row r="440" spans="1:24" ht="15.75" hidden="1">
      <c r="A440" s="94"/>
      <c r="B440" s="70" t="s">
        <v>104</v>
      </c>
      <c r="C440" s="70">
        <v>4860.26</v>
      </c>
      <c r="D440" s="70">
        <v>6.44</v>
      </c>
      <c r="E440" s="70">
        <v>257.567</v>
      </c>
      <c r="F440" s="126">
        <f aca="true" t="shared" si="81" ref="F440:F450">C440-E440</f>
        <v>4602.693</v>
      </c>
      <c r="G440" s="70">
        <v>31.264</v>
      </c>
      <c r="H440" s="70">
        <v>4571.429</v>
      </c>
      <c r="I440" s="70">
        <f t="shared" si="80"/>
        <v>4571.429</v>
      </c>
      <c r="J440" s="100"/>
      <c r="K440" s="100"/>
      <c r="L440" s="100"/>
      <c r="M440" s="100"/>
      <c r="N440" s="71"/>
      <c r="O440" s="71"/>
      <c r="P440" s="96"/>
      <c r="Q440" s="100"/>
      <c r="R440" s="71"/>
      <c r="S440" s="71"/>
      <c r="T440" s="71"/>
      <c r="U440" s="71"/>
      <c r="V440" s="71"/>
      <c r="W440" s="104">
        <f t="shared" si="70"/>
        <v>0</v>
      </c>
      <c r="X440" s="104">
        <f t="shared" si="71"/>
        <v>0</v>
      </c>
    </row>
    <row r="441" spans="1:24" ht="15.75" hidden="1">
      <c r="A441" s="94"/>
      <c r="B441" s="70" t="s">
        <v>105</v>
      </c>
      <c r="C441" s="70">
        <v>6086.75</v>
      </c>
      <c r="D441" s="70">
        <v>6.57</v>
      </c>
      <c r="E441" s="70">
        <v>339.296</v>
      </c>
      <c r="F441" s="126">
        <f t="shared" si="81"/>
        <v>5747.454</v>
      </c>
      <c r="G441" s="70">
        <v>40.321</v>
      </c>
      <c r="H441" s="70">
        <v>5707.135</v>
      </c>
      <c r="I441" s="70">
        <f t="shared" si="80"/>
        <v>5707.133</v>
      </c>
      <c r="J441" s="100"/>
      <c r="K441" s="100"/>
      <c r="L441" s="100"/>
      <c r="M441" s="100"/>
      <c r="N441" s="71"/>
      <c r="O441" s="71"/>
      <c r="P441" s="96"/>
      <c r="Q441" s="100"/>
      <c r="R441" s="71"/>
      <c r="S441" s="71"/>
      <c r="T441" s="71"/>
      <c r="U441" s="71"/>
      <c r="V441" s="71"/>
      <c r="W441" s="104">
        <f t="shared" si="70"/>
        <v>0</v>
      </c>
      <c r="X441" s="104">
        <f t="shared" si="71"/>
        <v>0</v>
      </c>
    </row>
    <row r="442" spans="1:24" ht="15.75" hidden="1">
      <c r="A442" s="94"/>
      <c r="B442" s="70" t="s">
        <v>106</v>
      </c>
      <c r="C442" s="70">
        <v>2315.37</v>
      </c>
      <c r="D442" s="70">
        <v>6.57</v>
      </c>
      <c r="E442" s="70">
        <v>123.273</v>
      </c>
      <c r="F442" s="126">
        <f t="shared" si="81"/>
        <v>2192.0969999999998</v>
      </c>
      <c r="G442" s="70">
        <v>15.405</v>
      </c>
      <c r="H442" s="70">
        <v>2176.692</v>
      </c>
      <c r="I442" s="70">
        <f t="shared" si="80"/>
        <v>2176.6919999999996</v>
      </c>
      <c r="J442" s="100"/>
      <c r="K442" s="100"/>
      <c r="L442" s="100"/>
      <c r="M442" s="100"/>
      <c r="N442" s="71"/>
      <c r="O442" s="71"/>
      <c r="P442" s="96"/>
      <c r="Q442" s="100"/>
      <c r="R442" s="71"/>
      <c r="S442" s="71"/>
      <c r="T442" s="71"/>
      <c r="U442" s="71"/>
      <c r="V442" s="71"/>
      <c r="W442" s="104">
        <f t="shared" si="70"/>
        <v>0</v>
      </c>
      <c r="X442" s="104">
        <f t="shared" si="71"/>
        <v>0</v>
      </c>
    </row>
    <row r="443" spans="1:24" ht="15.75" hidden="1">
      <c r="A443" s="94"/>
      <c r="B443" s="70" t="s">
        <v>107</v>
      </c>
      <c r="C443" s="70">
        <v>316.6</v>
      </c>
      <c r="D443" s="70">
        <v>6.44</v>
      </c>
      <c r="E443" s="70">
        <v>20.39</v>
      </c>
      <c r="F443" s="126">
        <f t="shared" si="81"/>
        <v>296.21000000000004</v>
      </c>
      <c r="G443" s="70">
        <v>2.379</v>
      </c>
      <c r="H443" s="70">
        <v>293.831</v>
      </c>
      <c r="I443" s="70">
        <f t="shared" si="80"/>
        <v>293.831</v>
      </c>
      <c r="J443" s="100"/>
      <c r="K443" s="100"/>
      <c r="L443" s="100"/>
      <c r="M443" s="100"/>
      <c r="N443" s="71"/>
      <c r="O443" s="71"/>
      <c r="P443" s="96"/>
      <c r="Q443" s="100"/>
      <c r="R443" s="71"/>
      <c r="S443" s="71"/>
      <c r="T443" s="71"/>
      <c r="U443" s="71"/>
      <c r="V443" s="71"/>
      <c r="W443" s="104">
        <f t="shared" si="70"/>
        <v>0</v>
      </c>
      <c r="X443" s="104">
        <f t="shared" si="71"/>
        <v>0</v>
      </c>
    </row>
    <row r="444" spans="1:24" ht="15.75" hidden="1">
      <c r="A444" s="94"/>
      <c r="B444" s="70" t="s">
        <v>162</v>
      </c>
      <c r="C444" s="70">
        <v>271.23</v>
      </c>
      <c r="D444" s="70">
        <v>6.44</v>
      </c>
      <c r="E444" s="70">
        <v>17.467</v>
      </c>
      <c r="F444" s="126">
        <f t="shared" si="81"/>
        <v>253.76300000000003</v>
      </c>
      <c r="G444" s="70">
        <v>2.036</v>
      </c>
      <c r="H444" s="70">
        <v>251.727</v>
      </c>
      <c r="I444" s="70">
        <f t="shared" si="80"/>
        <v>251.72700000000003</v>
      </c>
      <c r="J444" s="71"/>
      <c r="K444" s="71"/>
      <c r="L444" s="71"/>
      <c r="M444" s="71"/>
      <c r="N444" s="71"/>
      <c r="O444" s="71"/>
      <c r="P444" s="96"/>
      <c r="Q444" s="71"/>
      <c r="R444" s="71"/>
      <c r="S444" s="71"/>
      <c r="T444" s="71"/>
      <c r="U444" s="71"/>
      <c r="V444" s="71"/>
      <c r="W444" s="104">
        <f t="shared" si="70"/>
        <v>0</v>
      </c>
      <c r="X444" s="104">
        <f t="shared" si="71"/>
        <v>0</v>
      </c>
    </row>
    <row r="445" spans="1:24" ht="15.75" hidden="1">
      <c r="A445" s="94"/>
      <c r="B445" s="70" t="s">
        <v>163</v>
      </c>
      <c r="C445" s="70">
        <v>268.07</v>
      </c>
      <c r="D445" s="70">
        <v>6.44</v>
      </c>
      <c r="E445" s="70">
        <v>17.264</v>
      </c>
      <c r="F445" s="126">
        <f t="shared" si="81"/>
        <v>250.80599999999998</v>
      </c>
      <c r="G445" s="70">
        <v>2.016</v>
      </c>
      <c r="H445" s="70">
        <v>248.79</v>
      </c>
      <c r="I445" s="70">
        <f t="shared" si="80"/>
        <v>248.79</v>
      </c>
      <c r="J445" s="71"/>
      <c r="K445" s="71"/>
      <c r="L445" s="71"/>
      <c r="M445" s="71"/>
      <c r="N445" s="71"/>
      <c r="O445" s="71"/>
      <c r="P445" s="96"/>
      <c r="Q445" s="71"/>
      <c r="R445" s="71"/>
      <c r="S445" s="71"/>
      <c r="T445" s="71"/>
      <c r="U445" s="71"/>
      <c r="V445" s="71"/>
      <c r="W445" s="104">
        <f t="shared" si="70"/>
        <v>0</v>
      </c>
      <c r="X445" s="104">
        <f t="shared" si="71"/>
        <v>0</v>
      </c>
    </row>
    <row r="446" spans="1:24" ht="15.75" hidden="1">
      <c r="A446" s="94"/>
      <c r="B446" s="70" t="s">
        <v>112</v>
      </c>
      <c r="C446" s="70">
        <v>255.35</v>
      </c>
      <c r="D446" s="70">
        <v>7.33</v>
      </c>
      <c r="E446" s="70">
        <v>18.717</v>
      </c>
      <c r="F446" s="126">
        <f t="shared" si="81"/>
        <v>236.63299999999998</v>
      </c>
      <c r="G446" s="70">
        <v>1.876</v>
      </c>
      <c r="H446" s="70">
        <v>234.757</v>
      </c>
      <c r="I446" s="70">
        <f t="shared" si="80"/>
        <v>234.75699999999998</v>
      </c>
      <c r="J446" s="71"/>
      <c r="K446" s="71"/>
      <c r="L446" s="71"/>
      <c r="M446" s="71"/>
      <c r="N446" s="71"/>
      <c r="O446" s="71"/>
      <c r="P446" s="96"/>
      <c r="Q446" s="71"/>
      <c r="R446" s="71"/>
      <c r="S446" s="71"/>
      <c r="T446" s="71"/>
      <c r="U446" s="71"/>
      <c r="V446" s="71"/>
      <c r="W446" s="104">
        <f t="shared" si="70"/>
        <v>0</v>
      </c>
      <c r="X446" s="104">
        <f t="shared" si="71"/>
        <v>0</v>
      </c>
    </row>
    <row r="447" spans="1:24" ht="15.75" hidden="1">
      <c r="A447" s="94"/>
      <c r="B447" s="70" t="s">
        <v>113</v>
      </c>
      <c r="C447" s="70">
        <v>287.44</v>
      </c>
      <c r="D447" s="70">
        <v>7.33</v>
      </c>
      <c r="E447" s="70">
        <v>21.069</v>
      </c>
      <c r="F447" s="126">
        <f t="shared" si="81"/>
        <v>266.371</v>
      </c>
      <c r="G447" s="70">
        <v>2.139</v>
      </c>
      <c r="H447" s="70">
        <v>264.232</v>
      </c>
      <c r="I447" s="70">
        <f t="shared" si="80"/>
        <v>264.23199999999997</v>
      </c>
      <c r="J447" s="71"/>
      <c r="K447" s="71"/>
      <c r="L447" s="71"/>
      <c r="M447" s="71"/>
      <c r="N447" s="71"/>
      <c r="O447" s="71"/>
      <c r="P447" s="96"/>
      <c r="Q447" s="71"/>
      <c r="R447" s="71"/>
      <c r="S447" s="71"/>
      <c r="T447" s="71"/>
      <c r="U447" s="71"/>
      <c r="V447" s="71"/>
      <c r="W447" s="104">
        <f t="shared" si="70"/>
        <v>0</v>
      </c>
      <c r="X447" s="104">
        <f t="shared" si="71"/>
        <v>0</v>
      </c>
    </row>
    <row r="448" spans="1:24" ht="15.75" hidden="1">
      <c r="A448" s="94"/>
      <c r="B448" s="70" t="s">
        <v>164</v>
      </c>
      <c r="C448" s="70">
        <v>3724.24</v>
      </c>
      <c r="D448" s="70">
        <v>7.38</v>
      </c>
      <c r="E448" s="70">
        <v>250.219</v>
      </c>
      <c r="F448" s="126">
        <f t="shared" si="81"/>
        <v>3474.0209999999997</v>
      </c>
      <c r="G448" s="70">
        <v>24.245</v>
      </c>
      <c r="H448" s="70">
        <v>3449.776</v>
      </c>
      <c r="I448" s="70">
        <f t="shared" si="80"/>
        <v>3449.776</v>
      </c>
      <c r="J448" s="71"/>
      <c r="K448" s="71"/>
      <c r="L448" s="71"/>
      <c r="M448" s="71"/>
      <c r="N448" s="71"/>
      <c r="O448" s="71"/>
      <c r="P448" s="96"/>
      <c r="Q448" s="71"/>
      <c r="R448" s="71"/>
      <c r="S448" s="71"/>
      <c r="T448" s="71"/>
      <c r="U448" s="71"/>
      <c r="V448" s="71"/>
      <c r="W448" s="104">
        <f t="shared" si="70"/>
        <v>0</v>
      </c>
      <c r="X448" s="104">
        <f t="shared" si="71"/>
        <v>0</v>
      </c>
    </row>
    <row r="449" spans="1:24" ht="15.75" hidden="1">
      <c r="A449" s="94"/>
      <c r="B449" s="70" t="s">
        <v>165</v>
      </c>
      <c r="C449" s="70">
        <v>3967.18</v>
      </c>
      <c r="D449" s="70">
        <v>7.38</v>
      </c>
      <c r="E449" s="70">
        <v>255.437</v>
      </c>
      <c r="F449" s="126">
        <f t="shared" si="81"/>
        <v>3711.743</v>
      </c>
      <c r="G449" s="70">
        <v>25.646</v>
      </c>
      <c r="H449" s="70">
        <v>3686.097</v>
      </c>
      <c r="I449" s="70">
        <f t="shared" si="80"/>
        <v>3686.0969999999998</v>
      </c>
      <c r="J449" s="71"/>
      <c r="K449" s="71"/>
      <c r="L449" s="71"/>
      <c r="M449" s="71"/>
      <c r="N449" s="71"/>
      <c r="O449" s="71"/>
      <c r="P449" s="96"/>
      <c r="Q449" s="71"/>
      <c r="R449" s="71"/>
      <c r="S449" s="71"/>
      <c r="T449" s="71"/>
      <c r="U449" s="71"/>
      <c r="V449" s="71"/>
      <c r="W449" s="104">
        <f t="shared" si="70"/>
        <v>0</v>
      </c>
      <c r="X449" s="104">
        <f t="shared" si="71"/>
        <v>0</v>
      </c>
    </row>
    <row r="450" spans="1:24" ht="15.75" hidden="1">
      <c r="A450" s="94"/>
      <c r="B450" s="70" t="s">
        <v>166</v>
      </c>
      <c r="C450" s="70">
        <v>5037.86</v>
      </c>
      <c r="D450" s="70">
        <v>7.38</v>
      </c>
      <c r="E450" s="70">
        <v>319.442</v>
      </c>
      <c r="F450" s="126">
        <f t="shared" si="81"/>
        <v>4718.418</v>
      </c>
      <c r="G450" s="70">
        <v>31.482</v>
      </c>
      <c r="H450" s="70">
        <v>4686.936</v>
      </c>
      <c r="I450" s="70">
        <f t="shared" si="80"/>
        <v>4686.936</v>
      </c>
      <c r="J450" s="71"/>
      <c r="K450" s="71"/>
      <c r="L450" s="71"/>
      <c r="M450" s="71"/>
      <c r="N450" s="71"/>
      <c r="O450" s="71"/>
      <c r="P450" s="96"/>
      <c r="Q450" s="71"/>
      <c r="R450" s="71"/>
      <c r="S450" s="71"/>
      <c r="T450" s="71"/>
      <c r="U450" s="71"/>
      <c r="V450" s="71"/>
      <c r="W450" s="104">
        <f t="shared" si="70"/>
        <v>0</v>
      </c>
      <c r="X450" s="104">
        <f t="shared" si="71"/>
        <v>0</v>
      </c>
    </row>
    <row r="451" spans="1:24" ht="15.75" hidden="1">
      <c r="A451" s="94"/>
      <c r="B451" s="70" t="s">
        <v>167</v>
      </c>
      <c r="C451" s="70">
        <f>SUM(C439:C450)</f>
        <v>33308.13</v>
      </c>
      <c r="D451" s="70"/>
      <c r="E451" s="70">
        <f>SUM(E439:E450)</f>
        <v>1945.3110000000001</v>
      </c>
      <c r="F451" s="70">
        <f>SUM(F439:F450)</f>
        <v>31362.818999999996</v>
      </c>
      <c r="G451" s="70">
        <f>SUM(G439:G450)</f>
        <v>215.859</v>
      </c>
      <c r="H451" s="70">
        <f>SUM(H439:H450)</f>
        <v>31146.962000000007</v>
      </c>
      <c r="I451" s="101">
        <f>SUM(I439:I450)</f>
        <v>31146.96</v>
      </c>
      <c r="J451" s="71"/>
      <c r="K451" s="71"/>
      <c r="L451" s="71"/>
      <c r="M451" s="71"/>
      <c r="N451" s="71"/>
      <c r="O451" s="71"/>
      <c r="P451" s="96"/>
      <c r="Q451" s="71"/>
      <c r="R451" s="71"/>
      <c r="S451" s="71"/>
      <c r="T451" s="71"/>
      <c r="U451" s="71"/>
      <c r="V451" s="71"/>
      <c r="W451" s="104">
        <f t="shared" si="70"/>
        <v>0</v>
      </c>
      <c r="X451" s="104">
        <f t="shared" si="71"/>
        <v>0</v>
      </c>
    </row>
    <row r="452" spans="1:24" ht="15.75" hidden="1">
      <c r="A452" s="94"/>
      <c r="B452" s="102"/>
      <c r="C452" s="102"/>
      <c r="D452" s="102"/>
      <c r="E452" s="102"/>
      <c r="F452" s="102"/>
      <c r="G452" s="102"/>
      <c r="H452" s="102"/>
      <c r="I452" s="71"/>
      <c r="J452" s="71"/>
      <c r="K452" s="71"/>
      <c r="L452" s="71"/>
      <c r="M452" s="71"/>
      <c r="N452" s="71"/>
      <c r="O452" s="71"/>
      <c r="P452" s="96"/>
      <c r="Q452" s="71"/>
      <c r="R452" s="71"/>
      <c r="S452" s="71"/>
      <c r="T452" s="71"/>
      <c r="U452" s="71"/>
      <c r="V452" s="71"/>
      <c r="W452" s="104">
        <f t="shared" si="70"/>
        <v>0</v>
      </c>
      <c r="X452" s="104">
        <f t="shared" si="71"/>
        <v>0</v>
      </c>
    </row>
    <row r="453" spans="1:24" ht="15.75" hidden="1">
      <c r="A453" s="94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96"/>
      <c r="Q453" s="71"/>
      <c r="R453" s="71"/>
      <c r="S453" s="71"/>
      <c r="T453" s="71"/>
      <c r="U453" s="71"/>
      <c r="V453" s="71"/>
      <c r="W453" s="104">
        <f t="shared" si="70"/>
        <v>0</v>
      </c>
      <c r="X453" s="104">
        <f t="shared" si="71"/>
        <v>0</v>
      </c>
    </row>
    <row r="454" spans="1:24" ht="15.75" hidden="1">
      <c r="A454" s="94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96"/>
      <c r="Q454" s="71"/>
      <c r="R454" s="71"/>
      <c r="S454" s="71"/>
      <c r="T454" s="71"/>
      <c r="U454" s="71"/>
      <c r="V454" s="71"/>
      <c r="W454" s="104">
        <f t="shared" si="70"/>
        <v>0</v>
      </c>
      <c r="X454" s="104">
        <f t="shared" si="71"/>
        <v>0</v>
      </c>
    </row>
    <row r="455" spans="1:24" ht="15.75" hidden="1">
      <c r="A455" s="94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96"/>
      <c r="Q455" s="71"/>
      <c r="R455" s="71"/>
      <c r="S455" s="71"/>
      <c r="T455" s="71"/>
      <c r="U455" s="71"/>
      <c r="V455" s="71"/>
      <c r="W455" s="71"/>
      <c r="X455" s="71"/>
    </row>
    <row r="456" spans="1:24" ht="15.75">
      <c r="A456" s="94"/>
      <c r="B456" s="126" t="s">
        <v>169</v>
      </c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03">
        <f>O24+O47+O70+O93+O139+O162+O186+O232+O256+O279+O302+O325+O348+O371</f>
        <v>2119633</v>
      </c>
      <c r="P456" s="81"/>
      <c r="Q456" s="126"/>
      <c r="R456" s="126"/>
      <c r="S456" s="126"/>
      <c r="T456" s="126"/>
      <c r="U456" s="126"/>
      <c r="V456" s="126"/>
      <c r="W456" s="126">
        <v>19429.999999999996</v>
      </c>
      <c r="X456" s="126">
        <v>11450</v>
      </c>
    </row>
    <row r="458" spans="23:24" ht="15.75">
      <c r="W458" s="105">
        <f>W24+W47+W70+W93+W139+W162+W186+W232+W256+W279+W302+W325+W348+W371</f>
        <v>19430.000000000004</v>
      </c>
      <c r="X458" s="105">
        <f>X24+X47+X70+X93+X139+X162+X186+X232+X256+X279+X302+X325+X348+X371</f>
        <v>11449.999999999998</v>
      </c>
    </row>
  </sheetData>
  <sheetProtection/>
  <mergeCells count="435">
    <mergeCell ref="K4:K6"/>
    <mergeCell ref="C5:H5"/>
    <mergeCell ref="C6:H6"/>
    <mergeCell ref="R2:S2"/>
    <mergeCell ref="B3:B6"/>
    <mergeCell ref="C3:H3"/>
    <mergeCell ref="L3:L7"/>
    <mergeCell ref="M3:M7"/>
    <mergeCell ref="N3:N7"/>
    <mergeCell ref="O3:O7"/>
    <mergeCell ref="P3:P7"/>
    <mergeCell ref="Q3:Q7"/>
    <mergeCell ref="C4:H4"/>
    <mergeCell ref="B14:B17"/>
    <mergeCell ref="C14:H14"/>
    <mergeCell ref="L14:L17"/>
    <mergeCell ref="M14:M17"/>
    <mergeCell ref="N14:N17"/>
    <mergeCell ref="O14:O17"/>
    <mergeCell ref="C1:H1"/>
    <mergeCell ref="I1:K1"/>
    <mergeCell ref="L1:Q1"/>
    <mergeCell ref="B2:Q2"/>
    <mergeCell ref="P14:P17"/>
    <mergeCell ref="Q14:Q17"/>
    <mergeCell ref="C15:H15"/>
    <mergeCell ref="K15:K17"/>
    <mergeCell ref="C16:H16"/>
    <mergeCell ref="C17:H17"/>
    <mergeCell ref="M37:M40"/>
    <mergeCell ref="N37:N40"/>
    <mergeCell ref="O37:O40"/>
    <mergeCell ref="P37:P40"/>
    <mergeCell ref="Q37:Q40"/>
    <mergeCell ref="C38:H38"/>
    <mergeCell ref="K38:K40"/>
    <mergeCell ref="C39:H39"/>
    <mergeCell ref="B25:Q25"/>
    <mergeCell ref="B26:B29"/>
    <mergeCell ref="C26:H26"/>
    <mergeCell ref="L26:L30"/>
    <mergeCell ref="M26:M30"/>
    <mergeCell ref="N26:N30"/>
    <mergeCell ref="O26:O30"/>
    <mergeCell ref="P26:P30"/>
    <mergeCell ref="Q26:Q30"/>
    <mergeCell ref="C27:H27"/>
    <mergeCell ref="K27:K29"/>
    <mergeCell ref="C28:H28"/>
    <mergeCell ref="C29:H29"/>
    <mergeCell ref="B37:B40"/>
    <mergeCell ref="C37:H37"/>
    <mergeCell ref="L37:L40"/>
    <mergeCell ref="M60:M63"/>
    <mergeCell ref="N60:N63"/>
    <mergeCell ref="O60:O63"/>
    <mergeCell ref="P60:P63"/>
    <mergeCell ref="Q60:Q63"/>
    <mergeCell ref="C61:H61"/>
    <mergeCell ref="K61:K63"/>
    <mergeCell ref="L60:L63"/>
    <mergeCell ref="B48:Q48"/>
    <mergeCell ref="B49:B52"/>
    <mergeCell ref="C49:H49"/>
    <mergeCell ref="L49:L53"/>
    <mergeCell ref="M49:M53"/>
    <mergeCell ref="N49:N53"/>
    <mergeCell ref="O49:O53"/>
    <mergeCell ref="P49:P53"/>
    <mergeCell ref="Q49:Q53"/>
    <mergeCell ref="C40:H40"/>
    <mergeCell ref="K50:K52"/>
    <mergeCell ref="C51:H51"/>
    <mergeCell ref="C52:H52"/>
    <mergeCell ref="B60:B63"/>
    <mergeCell ref="C60:H60"/>
    <mergeCell ref="C50:H50"/>
    <mergeCell ref="C73:H73"/>
    <mergeCell ref="M83:M86"/>
    <mergeCell ref="N83:N86"/>
    <mergeCell ref="O83:O86"/>
    <mergeCell ref="P83:P86"/>
    <mergeCell ref="Q83:Q86"/>
    <mergeCell ref="C84:H84"/>
    <mergeCell ref="B83:B86"/>
    <mergeCell ref="C83:H83"/>
    <mergeCell ref="L83:L86"/>
    <mergeCell ref="B71:Q71"/>
    <mergeCell ref="B72:B75"/>
    <mergeCell ref="C72:H72"/>
    <mergeCell ref="L72:L76"/>
    <mergeCell ref="M72:M76"/>
    <mergeCell ref="N72:N76"/>
    <mergeCell ref="O72:O76"/>
    <mergeCell ref="P95:P99"/>
    <mergeCell ref="Q95:Q99"/>
    <mergeCell ref="C96:H96"/>
    <mergeCell ref="C62:H62"/>
    <mergeCell ref="C63:H63"/>
    <mergeCell ref="K73:K75"/>
    <mergeCell ref="C74:H74"/>
    <mergeCell ref="C75:H75"/>
    <mergeCell ref="P72:P76"/>
    <mergeCell ref="Q72:Q76"/>
    <mergeCell ref="K84:K86"/>
    <mergeCell ref="C85:H85"/>
    <mergeCell ref="C86:H86"/>
    <mergeCell ref="B94:Q94"/>
    <mergeCell ref="B95:B98"/>
    <mergeCell ref="C95:H95"/>
    <mergeCell ref="L95:L99"/>
    <mergeCell ref="M95:M99"/>
    <mergeCell ref="N95:N99"/>
    <mergeCell ref="O95:O99"/>
    <mergeCell ref="K96:K98"/>
    <mergeCell ref="C97:H97"/>
    <mergeCell ref="C98:H98"/>
    <mergeCell ref="B106:B109"/>
    <mergeCell ref="C106:H106"/>
    <mergeCell ref="C107:H107"/>
    <mergeCell ref="K107:K109"/>
    <mergeCell ref="L107:L109"/>
    <mergeCell ref="M107:M109"/>
    <mergeCell ref="Q107:Q109"/>
    <mergeCell ref="C108:H108"/>
    <mergeCell ref="C109:H109"/>
    <mergeCell ref="B117:Q117"/>
    <mergeCell ref="B118:B121"/>
    <mergeCell ref="C118:H118"/>
    <mergeCell ref="L118:L122"/>
    <mergeCell ref="M118:M122"/>
    <mergeCell ref="N118:N122"/>
    <mergeCell ref="O118:O122"/>
    <mergeCell ref="P118:P122"/>
    <mergeCell ref="Q118:Q122"/>
    <mergeCell ref="C119:H119"/>
    <mergeCell ref="K119:K121"/>
    <mergeCell ref="C120:H120"/>
    <mergeCell ref="C121:H121"/>
    <mergeCell ref="B129:B132"/>
    <mergeCell ref="C129:H129"/>
    <mergeCell ref="L129:L132"/>
    <mergeCell ref="M129:M132"/>
    <mergeCell ref="N129:N132"/>
    <mergeCell ref="O129:O132"/>
    <mergeCell ref="P129:P132"/>
    <mergeCell ref="Q129:Q132"/>
    <mergeCell ref="C130:H130"/>
    <mergeCell ref="K130:K132"/>
    <mergeCell ref="C131:H131"/>
    <mergeCell ref="C132:H132"/>
    <mergeCell ref="M152:M155"/>
    <mergeCell ref="N152:N155"/>
    <mergeCell ref="O152:O155"/>
    <mergeCell ref="P152:P155"/>
    <mergeCell ref="Q152:Q155"/>
    <mergeCell ref="C153:H153"/>
    <mergeCell ref="K153:K155"/>
    <mergeCell ref="C154:H154"/>
    <mergeCell ref="B140:Q140"/>
    <mergeCell ref="B141:B144"/>
    <mergeCell ref="C141:H141"/>
    <mergeCell ref="L141:L145"/>
    <mergeCell ref="M141:M145"/>
    <mergeCell ref="N141:N145"/>
    <mergeCell ref="O141:O145"/>
    <mergeCell ref="P141:P145"/>
    <mergeCell ref="Q141:Q145"/>
    <mergeCell ref="C142:H142"/>
    <mergeCell ref="K142:K144"/>
    <mergeCell ref="C143:H143"/>
    <mergeCell ref="C144:H144"/>
    <mergeCell ref="B152:B155"/>
    <mergeCell ref="C152:H152"/>
    <mergeCell ref="L152:L155"/>
    <mergeCell ref="M176:M179"/>
    <mergeCell ref="N176:N179"/>
    <mergeCell ref="O176:O179"/>
    <mergeCell ref="P176:P179"/>
    <mergeCell ref="Q176:Q179"/>
    <mergeCell ref="C177:H177"/>
    <mergeCell ref="K177:K179"/>
    <mergeCell ref="L176:L179"/>
    <mergeCell ref="B164:Q164"/>
    <mergeCell ref="B165:B168"/>
    <mergeCell ref="C165:H165"/>
    <mergeCell ref="L165:L169"/>
    <mergeCell ref="M165:M169"/>
    <mergeCell ref="N165:N169"/>
    <mergeCell ref="O165:O169"/>
    <mergeCell ref="P165:P169"/>
    <mergeCell ref="Q165:Q169"/>
    <mergeCell ref="C155:H155"/>
    <mergeCell ref="K166:K168"/>
    <mergeCell ref="C167:H167"/>
    <mergeCell ref="C168:H168"/>
    <mergeCell ref="B176:B179"/>
    <mergeCell ref="C176:H176"/>
    <mergeCell ref="C166:H166"/>
    <mergeCell ref="M199:M202"/>
    <mergeCell ref="N199:N202"/>
    <mergeCell ref="O199:O202"/>
    <mergeCell ref="P199:P202"/>
    <mergeCell ref="Q199:Q202"/>
    <mergeCell ref="C200:H200"/>
    <mergeCell ref="L199:L202"/>
    <mergeCell ref="B187:Q187"/>
    <mergeCell ref="B188:B191"/>
    <mergeCell ref="C188:H188"/>
    <mergeCell ref="L188:L192"/>
    <mergeCell ref="M188:M192"/>
    <mergeCell ref="N188:N192"/>
    <mergeCell ref="O188:O192"/>
    <mergeCell ref="P188:P192"/>
    <mergeCell ref="Q188:Q192"/>
    <mergeCell ref="C178:H178"/>
    <mergeCell ref="C179:H179"/>
    <mergeCell ref="K189:K191"/>
    <mergeCell ref="C190:H190"/>
    <mergeCell ref="C191:H191"/>
    <mergeCell ref="B199:B202"/>
    <mergeCell ref="C199:H199"/>
    <mergeCell ref="C189:H189"/>
    <mergeCell ref="C212:H212"/>
    <mergeCell ref="M222:M225"/>
    <mergeCell ref="N222:N225"/>
    <mergeCell ref="O222:O225"/>
    <mergeCell ref="P222:P225"/>
    <mergeCell ref="Q222:Q225"/>
    <mergeCell ref="L222:L225"/>
    <mergeCell ref="B210:Q210"/>
    <mergeCell ref="B211:B214"/>
    <mergeCell ref="C211:H211"/>
    <mergeCell ref="L211:L215"/>
    <mergeCell ref="M211:M215"/>
    <mergeCell ref="N211:N215"/>
    <mergeCell ref="O211:O215"/>
    <mergeCell ref="P211:P215"/>
    <mergeCell ref="Q211:Q215"/>
    <mergeCell ref="B246:B249"/>
    <mergeCell ref="C246:H246"/>
    <mergeCell ref="K200:K202"/>
    <mergeCell ref="C201:H201"/>
    <mergeCell ref="C202:H202"/>
    <mergeCell ref="K212:K214"/>
    <mergeCell ref="C213:H213"/>
    <mergeCell ref="C214:H214"/>
    <mergeCell ref="B222:B225"/>
    <mergeCell ref="C222:H222"/>
    <mergeCell ref="C223:H223"/>
    <mergeCell ref="K223:K225"/>
    <mergeCell ref="C224:H224"/>
    <mergeCell ref="C225:H225"/>
    <mergeCell ref="K236:K238"/>
    <mergeCell ref="C237:H237"/>
    <mergeCell ref="C238:H238"/>
    <mergeCell ref="C236:H236"/>
    <mergeCell ref="M246:M249"/>
    <mergeCell ref="N246:N249"/>
    <mergeCell ref="O246:O249"/>
    <mergeCell ref="P246:P249"/>
    <mergeCell ref="Q246:Q249"/>
    <mergeCell ref="C247:H247"/>
    <mergeCell ref="K247:K249"/>
    <mergeCell ref="C248:H248"/>
    <mergeCell ref="C249:H249"/>
    <mergeCell ref="L246:L249"/>
    <mergeCell ref="B234:Q234"/>
    <mergeCell ref="B235:B238"/>
    <mergeCell ref="C235:H235"/>
    <mergeCell ref="L235:L239"/>
    <mergeCell ref="M235:M239"/>
    <mergeCell ref="N235:N239"/>
    <mergeCell ref="O235:O239"/>
    <mergeCell ref="P235:P239"/>
    <mergeCell ref="Q235:Q239"/>
    <mergeCell ref="M269:M272"/>
    <mergeCell ref="N269:N272"/>
    <mergeCell ref="O269:O272"/>
    <mergeCell ref="P269:P272"/>
    <mergeCell ref="Q269:Q272"/>
    <mergeCell ref="C270:H270"/>
    <mergeCell ref="K270:K272"/>
    <mergeCell ref="C271:H271"/>
    <mergeCell ref="B257:Q257"/>
    <mergeCell ref="B258:B261"/>
    <mergeCell ref="C258:H258"/>
    <mergeCell ref="L258:L262"/>
    <mergeCell ref="M258:M262"/>
    <mergeCell ref="N258:N262"/>
    <mergeCell ref="O258:O262"/>
    <mergeCell ref="P258:P262"/>
    <mergeCell ref="Q258:Q262"/>
    <mergeCell ref="C259:H259"/>
    <mergeCell ref="K259:K261"/>
    <mergeCell ref="C260:H260"/>
    <mergeCell ref="C261:H261"/>
    <mergeCell ref="B269:B272"/>
    <mergeCell ref="C269:H269"/>
    <mergeCell ref="L269:L272"/>
    <mergeCell ref="P281:P285"/>
    <mergeCell ref="Q281:Q285"/>
    <mergeCell ref="C282:H282"/>
    <mergeCell ref="M292:M295"/>
    <mergeCell ref="O292:O295"/>
    <mergeCell ref="P292:P295"/>
    <mergeCell ref="Q292:Q295"/>
    <mergeCell ref="C293:H293"/>
    <mergeCell ref="K293:K295"/>
    <mergeCell ref="C294:H294"/>
    <mergeCell ref="B292:B295"/>
    <mergeCell ref="C292:H292"/>
    <mergeCell ref="L292:L295"/>
    <mergeCell ref="B280:Q280"/>
    <mergeCell ref="B281:B284"/>
    <mergeCell ref="C281:H281"/>
    <mergeCell ref="L281:L285"/>
    <mergeCell ref="M281:M285"/>
    <mergeCell ref="N281:N285"/>
    <mergeCell ref="O281:O285"/>
    <mergeCell ref="K316:K318"/>
    <mergeCell ref="C317:H317"/>
    <mergeCell ref="C318:H318"/>
    <mergeCell ref="K305:K307"/>
    <mergeCell ref="C306:H306"/>
    <mergeCell ref="C272:H272"/>
    <mergeCell ref="C295:H295"/>
    <mergeCell ref="K282:K284"/>
    <mergeCell ref="C283:H283"/>
    <mergeCell ref="N304:N308"/>
    <mergeCell ref="O304:O308"/>
    <mergeCell ref="P304:P308"/>
    <mergeCell ref="Q304:Q308"/>
    <mergeCell ref="C305:H305"/>
    <mergeCell ref="M315:M318"/>
    <mergeCell ref="O315:O318"/>
    <mergeCell ref="P315:P318"/>
    <mergeCell ref="Q315:Q318"/>
    <mergeCell ref="C316:H316"/>
    <mergeCell ref="C329:H329"/>
    <mergeCell ref="C284:H284"/>
    <mergeCell ref="B315:B318"/>
    <mergeCell ref="C315:H315"/>
    <mergeCell ref="L315:L318"/>
    <mergeCell ref="B303:Q303"/>
    <mergeCell ref="B304:B307"/>
    <mergeCell ref="C304:H304"/>
    <mergeCell ref="L304:L308"/>
    <mergeCell ref="M304:M308"/>
    <mergeCell ref="O327:O331"/>
    <mergeCell ref="P327:P331"/>
    <mergeCell ref="Q327:Q331"/>
    <mergeCell ref="C328:H328"/>
    <mergeCell ref="M338:M341"/>
    <mergeCell ref="O338:O341"/>
    <mergeCell ref="P338:P341"/>
    <mergeCell ref="Q338:Q341"/>
    <mergeCell ref="C339:H339"/>
    <mergeCell ref="K339:K341"/>
    <mergeCell ref="C307:H307"/>
    <mergeCell ref="B338:B341"/>
    <mergeCell ref="C338:H338"/>
    <mergeCell ref="L338:L341"/>
    <mergeCell ref="B326:Q326"/>
    <mergeCell ref="B327:B330"/>
    <mergeCell ref="C327:H327"/>
    <mergeCell ref="L327:L331"/>
    <mergeCell ref="M327:M331"/>
    <mergeCell ref="N327:N331"/>
    <mergeCell ref="M361:M364"/>
    <mergeCell ref="N361:N364"/>
    <mergeCell ref="O361:O364"/>
    <mergeCell ref="P361:P364"/>
    <mergeCell ref="Q361:Q364"/>
    <mergeCell ref="C362:H362"/>
    <mergeCell ref="K362:K364"/>
    <mergeCell ref="L361:L364"/>
    <mergeCell ref="B349:Q349"/>
    <mergeCell ref="B350:B353"/>
    <mergeCell ref="C350:H350"/>
    <mergeCell ref="L350:L354"/>
    <mergeCell ref="M350:M354"/>
    <mergeCell ref="N350:N354"/>
    <mergeCell ref="O350:O354"/>
    <mergeCell ref="P350:P354"/>
    <mergeCell ref="Q350:Q354"/>
    <mergeCell ref="C330:H330"/>
    <mergeCell ref="K351:K353"/>
    <mergeCell ref="C352:H352"/>
    <mergeCell ref="C353:H353"/>
    <mergeCell ref="B361:B364"/>
    <mergeCell ref="C361:H361"/>
    <mergeCell ref="C351:H351"/>
    <mergeCell ref="C340:H340"/>
    <mergeCell ref="C341:H341"/>
    <mergeCell ref="K328:K330"/>
    <mergeCell ref="M385:M388"/>
    <mergeCell ref="N385:N388"/>
    <mergeCell ref="O385:O388"/>
    <mergeCell ref="P385:P388"/>
    <mergeCell ref="Q385:Q388"/>
    <mergeCell ref="C386:H386"/>
    <mergeCell ref="L385:L388"/>
    <mergeCell ref="B373:Q373"/>
    <mergeCell ref="B374:B377"/>
    <mergeCell ref="C374:H374"/>
    <mergeCell ref="L374:L378"/>
    <mergeCell ref="M374:M378"/>
    <mergeCell ref="N374:N378"/>
    <mergeCell ref="O374:O378"/>
    <mergeCell ref="P374:P378"/>
    <mergeCell ref="Q374:Q378"/>
    <mergeCell ref="C363:H363"/>
    <mergeCell ref="C364:H364"/>
    <mergeCell ref="K375:K377"/>
    <mergeCell ref="C376:H376"/>
    <mergeCell ref="C377:H377"/>
    <mergeCell ref="B385:B388"/>
    <mergeCell ref="C385:H385"/>
    <mergeCell ref="C375:H375"/>
    <mergeCell ref="B437:H437"/>
    <mergeCell ref="B396:Q396"/>
    <mergeCell ref="B397:B400"/>
    <mergeCell ref="C397:H397"/>
    <mergeCell ref="C398:H398"/>
    <mergeCell ref="C399:H399"/>
    <mergeCell ref="C400:H400"/>
    <mergeCell ref="K386:K388"/>
    <mergeCell ref="C387:H387"/>
    <mergeCell ref="C388:H388"/>
    <mergeCell ref="B408:B411"/>
    <mergeCell ref="C408:H408"/>
    <mergeCell ref="C409:H409"/>
    <mergeCell ref="C410:H410"/>
    <mergeCell ref="C411:H411"/>
  </mergeCells>
  <printOptions/>
  <pageMargins left="0.27" right="0.17" top="1" bottom="1.25" header="0.5" footer="0.5"/>
  <pageSetup fitToHeight="1" fitToWidth="1" horizontalDpi="600" verticalDpi="600" orientation="landscape" paperSize="9" scale="10" r:id="rId1"/>
  <rowBreaks count="9" manualBreakCount="9">
    <brk id="116" max="255" man="1"/>
    <brk id="370" max="255" man="1"/>
    <brk id="139" max="255" man="1"/>
    <brk id="209" max="255" man="1"/>
    <brk id="186" max="255" man="1"/>
    <brk id="24" max="255" man="1"/>
    <brk id="70" max="255" man="1"/>
    <brk id="301" max="255" man="1"/>
    <brk id="3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7109375" style="0" customWidth="1"/>
    <col min="2" max="2" width="29.140625" style="0" customWidth="1"/>
    <col min="3" max="3" width="15.421875" style="0" customWidth="1"/>
    <col min="4" max="4" width="8.8515625" style="0" customWidth="1"/>
    <col min="5" max="5" width="7.8515625" style="0" customWidth="1"/>
    <col min="6" max="6" width="9.421875" style="0" customWidth="1"/>
    <col min="7" max="7" width="16.28125" style="0" customWidth="1"/>
    <col min="8" max="8" width="14.7109375" style="0" customWidth="1"/>
    <col min="9" max="9" width="18.7109375" style="0" customWidth="1"/>
    <col min="10" max="10" width="18.28125" style="0" customWidth="1"/>
    <col min="11" max="11" width="19.7109375" style="0" customWidth="1"/>
    <col min="12" max="12" width="14.28125" style="0" customWidth="1"/>
  </cols>
  <sheetData>
    <row r="1" spans="1:11" ht="38.25" customHeight="1" thickBot="1">
      <c r="A1" s="233" t="s">
        <v>201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72" customHeight="1" thickBot="1">
      <c r="A2" s="111" t="s">
        <v>192</v>
      </c>
      <c r="B2" s="128" t="s">
        <v>43</v>
      </c>
      <c r="C2" s="234" t="s">
        <v>44</v>
      </c>
      <c r="D2" s="235"/>
      <c r="E2" s="235"/>
      <c r="F2" s="236"/>
      <c r="G2" s="109" t="s">
        <v>45</v>
      </c>
      <c r="H2" s="110" t="s">
        <v>194</v>
      </c>
      <c r="I2" s="138" t="s">
        <v>193</v>
      </c>
      <c r="J2" s="139" t="s">
        <v>203</v>
      </c>
      <c r="K2" s="141" t="s">
        <v>202</v>
      </c>
    </row>
    <row r="3" spans="1:11" ht="30">
      <c r="A3" s="130" t="s">
        <v>172</v>
      </c>
      <c r="B3" s="132" t="s">
        <v>46</v>
      </c>
      <c r="C3" s="133">
        <v>37295</v>
      </c>
      <c r="D3" s="134" t="s">
        <v>181</v>
      </c>
      <c r="E3" s="134" t="s">
        <v>180</v>
      </c>
      <c r="F3" s="134" t="s">
        <v>185</v>
      </c>
      <c r="G3" s="135" t="s">
        <v>54</v>
      </c>
      <c r="H3" s="147" t="e">
        <f>#REF!</f>
        <v>#REF!</v>
      </c>
      <c r="I3" s="148" t="e">
        <f>#REF!</f>
        <v>#REF!</v>
      </c>
      <c r="J3" s="149" t="e">
        <f>H3</f>
        <v>#REF!</v>
      </c>
      <c r="K3" s="150" t="e">
        <f>#REF!</f>
        <v>#REF!</v>
      </c>
    </row>
    <row r="4" spans="1:11" ht="30">
      <c r="A4" s="131" t="s">
        <v>173</v>
      </c>
      <c r="B4" s="136" t="s">
        <v>47</v>
      </c>
      <c r="C4" s="107">
        <v>35746</v>
      </c>
      <c r="D4" s="116" t="s">
        <v>182</v>
      </c>
      <c r="E4" s="116" t="s">
        <v>183</v>
      </c>
      <c r="F4" s="116" t="s">
        <v>186</v>
      </c>
      <c r="G4" s="114" t="s">
        <v>55</v>
      </c>
      <c r="H4" s="151" t="e">
        <f>#REF!</f>
        <v>#REF!</v>
      </c>
      <c r="I4" s="152" t="e">
        <f>#REF!</f>
        <v>#REF!</v>
      </c>
      <c r="J4" s="153" t="e">
        <f aca="true" t="shared" si="0" ref="J4:J10">H4</f>
        <v>#REF!</v>
      </c>
      <c r="K4" s="154" t="e">
        <f>#REF!</f>
        <v>#REF!</v>
      </c>
    </row>
    <row r="5" spans="1:11" ht="30">
      <c r="A5" s="131" t="s">
        <v>174</v>
      </c>
      <c r="B5" s="136" t="s">
        <v>48</v>
      </c>
      <c r="C5" s="107">
        <v>41584</v>
      </c>
      <c r="D5" s="116" t="s">
        <v>184</v>
      </c>
      <c r="E5" s="116" t="s">
        <v>183</v>
      </c>
      <c r="F5" s="116" t="s">
        <v>187</v>
      </c>
      <c r="G5" s="114" t="s">
        <v>56</v>
      </c>
      <c r="H5" s="151" t="e">
        <f>#REF!</f>
        <v>#REF!</v>
      </c>
      <c r="I5" s="152" t="e">
        <f>#REF!</f>
        <v>#REF!</v>
      </c>
      <c r="J5" s="153" t="e">
        <f t="shared" si="0"/>
        <v>#REF!</v>
      </c>
      <c r="K5" s="154" t="e">
        <f>#REF!</f>
        <v>#REF!</v>
      </c>
    </row>
    <row r="6" spans="1:11" ht="30">
      <c r="A6" s="131" t="s">
        <v>175</v>
      </c>
      <c r="B6" s="136" t="s">
        <v>49</v>
      </c>
      <c r="C6" s="107">
        <v>41584</v>
      </c>
      <c r="D6" s="116" t="s">
        <v>184</v>
      </c>
      <c r="E6" s="116" t="s">
        <v>183</v>
      </c>
      <c r="F6" s="116" t="s">
        <v>187</v>
      </c>
      <c r="G6" s="114" t="s">
        <v>57</v>
      </c>
      <c r="H6" s="151" t="e">
        <f>#REF!</f>
        <v>#REF!</v>
      </c>
      <c r="I6" s="152" t="e">
        <f>#REF!</f>
        <v>#REF!</v>
      </c>
      <c r="J6" s="155" t="e">
        <f t="shared" si="0"/>
        <v>#REF!</v>
      </c>
      <c r="K6" s="154" t="e">
        <f>#REF!</f>
        <v>#REF!</v>
      </c>
    </row>
    <row r="7" spans="1:11" ht="30">
      <c r="A7" s="131" t="s">
        <v>176</v>
      </c>
      <c r="B7" s="136" t="s">
        <v>50</v>
      </c>
      <c r="C7" s="107">
        <v>41796</v>
      </c>
      <c r="D7" s="116" t="s">
        <v>184</v>
      </c>
      <c r="E7" s="116" t="s">
        <v>184</v>
      </c>
      <c r="F7" s="116" t="s">
        <v>188</v>
      </c>
      <c r="G7" s="114" t="s">
        <v>58</v>
      </c>
      <c r="H7" s="151" t="e">
        <f>#REF!</f>
        <v>#REF!</v>
      </c>
      <c r="I7" s="152" t="e">
        <f>#REF!</f>
        <v>#REF!</v>
      </c>
      <c r="J7" s="155" t="e">
        <f t="shared" si="0"/>
        <v>#REF!</v>
      </c>
      <c r="K7" s="154" t="e">
        <f>#REF!</f>
        <v>#REF!</v>
      </c>
    </row>
    <row r="8" spans="1:11" ht="30">
      <c r="A8" s="131" t="s">
        <v>177</v>
      </c>
      <c r="B8" s="136" t="s">
        <v>51</v>
      </c>
      <c r="C8" s="107">
        <v>34494</v>
      </c>
      <c r="D8" s="116" t="s">
        <v>62</v>
      </c>
      <c r="E8" s="116" t="s">
        <v>184</v>
      </c>
      <c r="F8" s="116" t="s">
        <v>189</v>
      </c>
      <c r="G8" s="114" t="s">
        <v>59</v>
      </c>
      <c r="H8" s="151" t="e">
        <f>#REF!</f>
        <v>#REF!</v>
      </c>
      <c r="I8" s="152" t="e">
        <f>#REF!</f>
        <v>#REF!</v>
      </c>
      <c r="J8" s="155" t="e">
        <f t="shared" si="0"/>
        <v>#REF!</v>
      </c>
      <c r="K8" s="154" t="e">
        <f>#REF!</f>
        <v>#REF!</v>
      </c>
    </row>
    <row r="9" spans="1:11" ht="28.5" customHeight="1">
      <c r="A9" s="131" t="s">
        <v>178</v>
      </c>
      <c r="B9" s="136" t="s">
        <v>52</v>
      </c>
      <c r="C9" s="107">
        <v>39392</v>
      </c>
      <c r="D9" s="116" t="s">
        <v>184</v>
      </c>
      <c r="E9" s="116" t="s">
        <v>183</v>
      </c>
      <c r="F9" s="116" t="s">
        <v>190</v>
      </c>
      <c r="G9" s="114" t="s">
        <v>60</v>
      </c>
      <c r="H9" s="151" t="e">
        <f>#REF!</f>
        <v>#REF!</v>
      </c>
      <c r="I9" s="152" t="e">
        <f>#REF!</f>
        <v>#REF!</v>
      </c>
      <c r="J9" s="155" t="e">
        <f t="shared" si="0"/>
        <v>#REF!</v>
      </c>
      <c r="K9" s="154" t="e">
        <f>#REF!</f>
        <v>#REF!</v>
      </c>
    </row>
    <row r="10" spans="1:11" ht="31.5" customHeight="1" thickBot="1">
      <c r="A10" s="129" t="s">
        <v>191</v>
      </c>
      <c r="B10" s="137" t="s">
        <v>53</v>
      </c>
      <c r="C10" s="108">
        <v>37630</v>
      </c>
      <c r="D10" s="117" t="s">
        <v>62</v>
      </c>
      <c r="E10" s="117" t="s">
        <v>63</v>
      </c>
      <c r="F10" s="117" t="s">
        <v>64</v>
      </c>
      <c r="G10" s="115" t="s">
        <v>61</v>
      </c>
      <c r="H10" s="156" t="e">
        <f>#REF!</f>
        <v>#REF!</v>
      </c>
      <c r="I10" s="157" t="e">
        <f>#REF!</f>
        <v>#REF!</v>
      </c>
      <c r="J10" s="158" t="e">
        <f t="shared" si="0"/>
        <v>#REF!</v>
      </c>
      <c r="K10" s="159" t="e">
        <f>#REF!</f>
        <v>#REF!</v>
      </c>
    </row>
    <row r="11" spans="1:11" ht="15">
      <c r="A11" s="106"/>
      <c r="B11" s="106"/>
      <c r="C11" s="106"/>
      <c r="D11" s="106"/>
      <c r="E11" s="106"/>
      <c r="F11" s="106"/>
      <c r="G11" s="106"/>
      <c r="H11" s="160" t="e">
        <f>SUM(H3:H10)</f>
        <v>#REF!</v>
      </c>
      <c r="I11" s="160" t="e">
        <f>SUM(I3:I10)</f>
        <v>#REF!</v>
      </c>
      <c r="J11" s="161" t="e">
        <f>SUM(J3:J10)</f>
        <v>#REF!</v>
      </c>
      <c r="K11" s="161" t="e">
        <f>SUM(K3:K10)</f>
        <v>#REF!</v>
      </c>
    </row>
    <row r="14" spans="7:8" ht="15">
      <c r="G14" s="140"/>
      <c r="H14" t="s">
        <v>195</v>
      </c>
    </row>
    <row r="16" spans="9:11" ht="18.75">
      <c r="I16" s="142" t="s">
        <v>197</v>
      </c>
      <c r="J16" s="145" t="e">
        <f>#REF!-'II этап'!J11</f>
        <v>#REF!</v>
      </c>
      <c r="K16" s="143" t="s">
        <v>200</v>
      </c>
    </row>
    <row r="17" spans="7:11" ht="18.75">
      <c r="G17" s="162" t="s">
        <v>196</v>
      </c>
      <c r="H17" s="144"/>
      <c r="I17" s="142" t="s">
        <v>198</v>
      </c>
      <c r="J17" s="146" t="e">
        <f>#REF!-'II этап'!K11</f>
        <v>#REF!</v>
      </c>
      <c r="K17" s="143" t="s">
        <v>199</v>
      </c>
    </row>
    <row r="18" spans="7:8" ht="15.75">
      <c r="G18" s="142"/>
      <c r="H18" s="142"/>
    </row>
  </sheetData>
  <sheetProtection/>
  <mergeCells count="2">
    <mergeCell ref="A1:K1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140" zoomScaleNormal="140" zoomScalePageLayoutView="0" workbookViewId="0" topLeftCell="A1">
      <selection activeCell="K9" sqref="K9"/>
    </sheetView>
  </sheetViews>
  <sheetFormatPr defaultColWidth="9.140625" defaultRowHeight="15"/>
  <cols>
    <col min="1" max="1" width="7.57421875" style="1" customWidth="1"/>
    <col min="2" max="3" width="9.140625" style="1" customWidth="1"/>
    <col min="4" max="4" width="7.7109375" style="1" customWidth="1"/>
    <col min="5" max="5" width="7.00390625" style="1" customWidth="1"/>
    <col min="6" max="7" width="9.140625" style="1" customWidth="1"/>
    <col min="8" max="8" width="19.7109375" style="1" customWidth="1"/>
    <col min="9" max="9" width="7.57421875" style="1" customWidth="1"/>
  </cols>
  <sheetData>
    <row r="1" spans="1:9" ht="15">
      <c r="A1" s="3"/>
      <c r="B1" s="3"/>
      <c r="C1" s="3"/>
      <c r="D1" s="242" t="s">
        <v>0</v>
      </c>
      <c r="E1" s="242"/>
      <c r="F1" s="242"/>
      <c r="G1" s="3"/>
      <c r="H1" s="3"/>
      <c r="I1" s="3"/>
    </row>
    <row r="2" spans="1:11" ht="54.75" customHeight="1">
      <c r="A2" s="3"/>
      <c r="B2" s="243" t="s">
        <v>207</v>
      </c>
      <c r="C2" s="244"/>
      <c r="D2" s="244"/>
      <c r="E2" s="244"/>
      <c r="F2" s="244"/>
      <c r="G2" s="244"/>
      <c r="H2" s="244"/>
      <c r="I2" s="3"/>
      <c r="K2" t="s">
        <v>33</v>
      </c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245" t="s">
        <v>204</v>
      </c>
      <c r="B4" s="245"/>
      <c r="C4" s="245"/>
      <c r="D4" s="3"/>
      <c r="E4" s="3"/>
      <c r="F4" s="3"/>
      <c r="G4" s="3"/>
      <c r="H4" s="163"/>
      <c r="I4" s="1" t="s">
        <v>208</v>
      </c>
    </row>
    <row r="5" spans="1:9" ht="21" customHeight="1">
      <c r="A5" s="246" t="s">
        <v>209</v>
      </c>
      <c r="B5" s="247"/>
      <c r="C5" s="247"/>
      <c r="D5" s="3"/>
      <c r="E5" s="3"/>
      <c r="F5" s="3"/>
      <c r="G5" s="3"/>
      <c r="H5" s="3"/>
      <c r="I5" s="3"/>
    </row>
    <row r="6" spans="1:9" ht="10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9" ht="15.75" thickBot="1">
      <c r="A7" s="248"/>
      <c r="B7" s="249"/>
      <c r="C7" s="249"/>
      <c r="D7" s="249"/>
      <c r="E7" s="249"/>
      <c r="F7" s="249"/>
      <c r="G7" s="249"/>
      <c r="H7" s="249"/>
      <c r="I7" s="250"/>
    </row>
    <row r="8" spans="1:9" ht="15">
      <c r="A8" s="251" t="s">
        <v>1</v>
      </c>
      <c r="B8" s="252"/>
      <c r="C8" s="252"/>
      <c r="D8" s="252"/>
      <c r="E8" s="252"/>
      <c r="F8" s="252"/>
      <c r="G8" s="252"/>
      <c r="H8" s="252"/>
      <c r="I8" s="252"/>
    </row>
    <row r="9" spans="1:9" ht="15.75" thickBot="1">
      <c r="A9" s="3" t="s">
        <v>2</v>
      </c>
      <c r="B9" s="3"/>
      <c r="C9" s="3"/>
      <c r="D9" s="3"/>
      <c r="E9" s="3"/>
      <c r="F9" s="3"/>
      <c r="G9" s="3"/>
      <c r="H9" s="3"/>
      <c r="I9" s="3"/>
    </row>
    <row r="10" spans="1:9" ht="15.75" thickBot="1">
      <c r="A10" s="3"/>
      <c r="B10" s="237" t="s">
        <v>3</v>
      </c>
      <c r="C10" s="238"/>
      <c r="D10" s="27"/>
      <c r="E10" s="6"/>
      <c r="F10" s="239" t="s">
        <v>6</v>
      </c>
      <c r="G10" s="239"/>
      <c r="H10" s="240"/>
      <c r="I10" s="25"/>
    </row>
    <row r="11" spans="1:9" s="2" customFormat="1" ht="3" customHeight="1" thickBot="1">
      <c r="A11" s="4"/>
      <c r="B11" s="5"/>
      <c r="C11" s="5"/>
      <c r="D11" s="34"/>
      <c r="E11" s="7"/>
      <c r="F11" s="8"/>
      <c r="G11" s="8"/>
      <c r="H11" s="8"/>
      <c r="I11" s="23"/>
    </row>
    <row r="12" spans="1:9" ht="15.75" thickBot="1">
      <c r="A12" s="3"/>
      <c r="B12" s="237" t="s">
        <v>4</v>
      </c>
      <c r="C12" s="238"/>
      <c r="D12" s="27"/>
      <c r="E12" s="9"/>
      <c r="F12" s="239" t="s">
        <v>8</v>
      </c>
      <c r="G12" s="239"/>
      <c r="H12" s="240"/>
      <c r="I12" s="25"/>
    </row>
    <row r="13" spans="1:9" s="2" customFormat="1" ht="3" customHeight="1" thickBot="1">
      <c r="A13" s="4"/>
      <c r="B13" s="5"/>
      <c r="C13" s="5"/>
      <c r="D13" s="4"/>
      <c r="E13" s="4"/>
      <c r="F13" s="8"/>
      <c r="G13" s="8"/>
      <c r="H13" s="8"/>
      <c r="I13" s="23"/>
    </row>
    <row r="14" spans="1:9" ht="15.75" thickBot="1">
      <c r="A14" s="3"/>
      <c r="B14" s="237" t="s">
        <v>5</v>
      </c>
      <c r="C14" s="238"/>
      <c r="D14" s="25"/>
      <c r="E14" s="3"/>
      <c r="F14" s="240" t="s">
        <v>7</v>
      </c>
      <c r="G14" s="241"/>
      <c r="H14" s="241"/>
      <c r="I14" s="25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5.75" thickBot="1">
      <c r="A17" s="3"/>
      <c r="B17" s="253" t="s">
        <v>10</v>
      </c>
      <c r="C17" s="254"/>
      <c r="D17" s="254"/>
      <c r="E17" s="254"/>
      <c r="F17" s="254"/>
      <c r="G17" s="254"/>
      <c r="H17" s="254"/>
      <c r="I17" s="26"/>
    </row>
    <row r="18" spans="1:9" ht="4.5" customHeight="1" thickBot="1">
      <c r="A18" s="4"/>
      <c r="B18" s="10"/>
      <c r="C18" s="10"/>
      <c r="D18" s="10"/>
      <c r="E18" s="10"/>
      <c r="F18" s="10"/>
      <c r="G18" s="10"/>
      <c r="H18" s="10"/>
      <c r="I18" s="34"/>
    </row>
    <row r="19" spans="1:9" ht="17.25" customHeight="1" thickBot="1">
      <c r="A19" s="3"/>
      <c r="B19" s="255" t="s">
        <v>11</v>
      </c>
      <c r="C19" s="256"/>
      <c r="D19" s="256"/>
      <c r="E19" s="256"/>
      <c r="F19" s="256"/>
      <c r="G19" s="256"/>
      <c r="H19" s="253"/>
      <c r="I19" s="26"/>
    </row>
    <row r="20" spans="1:9" ht="4.5" customHeight="1" thickBot="1">
      <c r="A20" s="3"/>
      <c r="B20" s="11"/>
      <c r="C20" s="10"/>
      <c r="D20" s="10"/>
      <c r="E20" s="10"/>
      <c r="F20" s="10"/>
      <c r="G20" s="10"/>
      <c r="H20" s="10"/>
      <c r="I20" s="36"/>
    </row>
    <row r="21" spans="1:9" ht="13.5" customHeight="1">
      <c r="A21" s="3"/>
      <c r="B21" s="262" t="s">
        <v>35</v>
      </c>
      <c r="C21" s="263"/>
      <c r="D21" s="263"/>
      <c r="E21" s="263"/>
      <c r="F21" s="263"/>
      <c r="G21" s="263"/>
      <c r="H21" s="263"/>
      <c r="I21" s="264"/>
    </row>
    <row r="22" spans="1:9" ht="14.25" customHeight="1" thickBot="1">
      <c r="A22" s="3"/>
      <c r="B22" s="266" t="s">
        <v>34</v>
      </c>
      <c r="C22" s="267"/>
      <c r="D22" s="267"/>
      <c r="E22" s="268" t="s">
        <v>36</v>
      </c>
      <c r="F22" s="268"/>
      <c r="G22" s="268"/>
      <c r="H22" s="268"/>
      <c r="I22" s="265"/>
    </row>
    <row r="23" spans="1:9" ht="4.5" customHeight="1" thickBot="1">
      <c r="A23" s="3"/>
      <c r="B23" s="11"/>
      <c r="C23" s="10"/>
      <c r="D23" s="10"/>
      <c r="E23" s="10"/>
      <c r="F23" s="10"/>
      <c r="G23" s="10"/>
      <c r="H23" s="10"/>
      <c r="I23" s="4"/>
    </row>
    <row r="24" spans="1:9" ht="15.75" thickBot="1">
      <c r="A24" s="3"/>
      <c r="B24" s="253" t="s">
        <v>12</v>
      </c>
      <c r="C24" s="254"/>
      <c r="D24" s="254"/>
      <c r="E24" s="254"/>
      <c r="F24" s="254"/>
      <c r="G24" s="254"/>
      <c r="H24" s="254"/>
      <c r="I24" s="25"/>
    </row>
    <row r="25" spans="1:9" s="2" customFormat="1" ht="3.75" customHeight="1" thickBot="1">
      <c r="A25" s="4"/>
      <c r="B25" s="10"/>
      <c r="C25" s="10"/>
      <c r="D25" s="10"/>
      <c r="E25" s="10"/>
      <c r="F25" s="10"/>
      <c r="G25" s="10"/>
      <c r="H25" s="10"/>
      <c r="I25" s="4"/>
    </row>
    <row r="26" spans="1:9" ht="14.25" customHeight="1" thickBot="1">
      <c r="A26" s="3"/>
      <c r="B26" s="255" t="s">
        <v>13</v>
      </c>
      <c r="C26" s="256"/>
      <c r="D26" s="256"/>
      <c r="E26" s="256"/>
      <c r="F26" s="256"/>
      <c r="G26" s="256"/>
      <c r="H26" s="253"/>
      <c r="I26" s="27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92.25" customHeight="1">
      <c r="A28" s="257" t="s">
        <v>14</v>
      </c>
      <c r="B28" s="257"/>
      <c r="C28" s="257"/>
      <c r="D28" s="257"/>
      <c r="E28" s="257"/>
      <c r="F28" s="257"/>
      <c r="G28" s="257"/>
      <c r="H28" s="257"/>
      <c r="I28" s="257"/>
    </row>
    <row r="29" spans="1:9" ht="6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44.25" customHeight="1">
      <c r="A30" s="258" t="s">
        <v>42</v>
      </c>
      <c r="B30" s="258"/>
      <c r="C30" s="258"/>
      <c r="D30" s="258"/>
      <c r="E30" s="258"/>
      <c r="F30" s="258"/>
      <c r="G30" s="258"/>
      <c r="H30" s="258"/>
      <c r="I30" s="258"/>
    </row>
    <row r="31" spans="1:9" ht="4.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3.5" customHeight="1" thickBot="1">
      <c r="A32" s="3"/>
      <c r="B32" s="12" t="s">
        <v>15</v>
      </c>
      <c r="C32" s="12"/>
      <c r="D32" s="12"/>
      <c r="E32" s="12"/>
      <c r="F32" s="12"/>
      <c r="G32" s="3"/>
      <c r="H32" s="3"/>
      <c r="I32" s="3"/>
    </row>
    <row r="33" spans="1:9" s="18" customFormat="1" ht="14.25" customHeight="1" thickBot="1">
      <c r="A33" s="3"/>
      <c r="B33" s="12"/>
      <c r="C33" s="12"/>
      <c r="D33" s="12"/>
      <c r="E33" s="12"/>
      <c r="F33" s="12"/>
      <c r="G33" s="259" t="s">
        <v>41</v>
      </c>
      <c r="H33" s="260"/>
      <c r="I33" s="112"/>
    </row>
    <row r="34" spans="1:9" s="18" customFormat="1" ht="11.25" customHeight="1" thickBot="1">
      <c r="A34" s="3"/>
      <c r="B34" s="12"/>
      <c r="C34" s="12"/>
      <c r="D34" s="12"/>
      <c r="E34" s="12"/>
      <c r="F34" s="12"/>
      <c r="G34" s="261" t="s">
        <v>17</v>
      </c>
      <c r="H34" s="242"/>
      <c r="I34" s="242"/>
    </row>
    <row r="35" spans="1:9" s="18" customFormat="1" ht="14.25" customHeight="1" thickBot="1">
      <c r="A35" s="3"/>
      <c r="B35" s="3"/>
      <c r="C35" s="3"/>
      <c r="D35" s="3"/>
      <c r="E35" s="3"/>
      <c r="F35" s="3"/>
      <c r="G35" s="259" t="s">
        <v>16</v>
      </c>
      <c r="H35" s="269"/>
      <c r="I35" s="112"/>
    </row>
    <row r="36" spans="1:9" s="18" customFormat="1" ht="10.5" customHeight="1" thickBot="1">
      <c r="A36" s="3"/>
      <c r="B36" s="3"/>
      <c r="C36" s="3"/>
      <c r="D36" s="3"/>
      <c r="E36" s="3"/>
      <c r="F36" s="3"/>
      <c r="G36" s="13" t="s">
        <v>17</v>
      </c>
      <c r="H36" s="14"/>
      <c r="I36" s="3"/>
    </row>
    <row r="37" spans="1:9" s="18" customFormat="1" ht="15.75" thickBot="1">
      <c r="A37" s="3"/>
      <c r="B37" s="3"/>
      <c r="C37" s="3"/>
      <c r="D37" s="3"/>
      <c r="E37" s="3"/>
      <c r="F37" s="3"/>
      <c r="G37" s="237" t="s">
        <v>18</v>
      </c>
      <c r="H37" s="238"/>
      <c r="I37" s="24"/>
    </row>
    <row r="38" spans="1:9" ht="5.2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270" t="s">
        <v>20</v>
      </c>
      <c r="C39" s="270"/>
      <c r="D39" s="270"/>
      <c r="E39" s="270"/>
      <c r="F39" s="270"/>
      <c r="G39" s="270"/>
      <c r="H39" s="270"/>
      <c r="I39" s="3"/>
    </row>
    <row r="40" spans="1:9" ht="6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20.25" customHeight="1" thickBot="1">
      <c r="A41" s="271" t="s">
        <v>19</v>
      </c>
      <c r="B41" s="271"/>
      <c r="C41" s="271"/>
      <c r="D41" s="272" t="s">
        <v>21</v>
      </c>
      <c r="E41" s="273"/>
      <c r="F41" s="273"/>
      <c r="G41" s="273"/>
      <c r="H41" s="273"/>
      <c r="I41" s="274"/>
    </row>
    <row r="42" spans="1:9" ht="24.75" customHeight="1" thickBot="1">
      <c r="A42" s="275"/>
      <c r="B42" s="276"/>
      <c r="C42" s="276"/>
      <c r="D42" s="277"/>
      <c r="E42" s="277"/>
      <c r="F42" s="277"/>
      <c r="G42" s="277"/>
      <c r="H42" s="277"/>
      <c r="I42" s="278"/>
    </row>
    <row r="43" spans="1:9" ht="24.75" customHeight="1" thickBot="1">
      <c r="A43" s="275"/>
      <c r="B43" s="276"/>
      <c r="C43" s="276"/>
      <c r="D43" s="277"/>
      <c r="E43" s="277"/>
      <c r="F43" s="277"/>
      <c r="G43" s="277"/>
      <c r="H43" s="277"/>
      <c r="I43" s="278"/>
    </row>
    <row r="44" spans="1:9" ht="24.75" customHeight="1" thickBot="1">
      <c r="A44" s="275"/>
      <c r="B44" s="276"/>
      <c r="C44" s="276"/>
      <c r="D44" s="277"/>
      <c r="E44" s="277"/>
      <c r="F44" s="277"/>
      <c r="G44" s="277"/>
      <c r="H44" s="277"/>
      <c r="I44" s="278"/>
    </row>
    <row r="45" spans="1:9" ht="24.75" customHeight="1" thickBot="1">
      <c r="A45" s="275"/>
      <c r="B45" s="276"/>
      <c r="C45" s="276"/>
      <c r="D45" s="277"/>
      <c r="E45" s="277"/>
      <c r="F45" s="277"/>
      <c r="G45" s="277"/>
      <c r="H45" s="277"/>
      <c r="I45" s="278"/>
    </row>
    <row r="46" spans="1:9" ht="81.75" customHeight="1">
      <c r="A46" s="289" t="s">
        <v>179</v>
      </c>
      <c r="B46" s="290"/>
      <c r="C46" s="290"/>
      <c r="D46" s="290"/>
      <c r="E46" s="290"/>
      <c r="F46" s="290"/>
      <c r="G46" s="290"/>
      <c r="H46" s="290"/>
      <c r="I46" s="290"/>
    </row>
    <row r="47" spans="1:9" ht="30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270" t="s">
        <v>22</v>
      </c>
      <c r="C48" s="270"/>
      <c r="D48" s="270"/>
      <c r="E48" s="3"/>
      <c r="F48" s="3"/>
      <c r="G48" s="3"/>
      <c r="H48" s="3"/>
      <c r="I48" s="3"/>
    </row>
    <row r="49" spans="1:9" ht="4.5" customHeight="1">
      <c r="A49" s="3"/>
      <c r="B49" s="21"/>
      <c r="C49" s="21"/>
      <c r="D49" s="21"/>
      <c r="E49" s="3"/>
      <c r="F49" s="3"/>
      <c r="G49" s="3"/>
      <c r="H49" s="3"/>
      <c r="I49" s="3"/>
    </row>
    <row r="50" spans="1:9" ht="15.75" thickBot="1">
      <c r="A50" s="3"/>
      <c r="B50" s="3"/>
      <c r="C50" s="3"/>
      <c r="D50" s="3"/>
      <c r="E50" s="22" t="s">
        <v>23</v>
      </c>
      <c r="F50" s="22" t="s">
        <v>24</v>
      </c>
      <c r="G50" s="22" t="s">
        <v>25</v>
      </c>
      <c r="H50" s="291" t="s">
        <v>26</v>
      </c>
      <c r="I50" s="291"/>
    </row>
    <row r="51" spans="1:9" ht="15.75" thickBot="1">
      <c r="A51" s="3"/>
      <c r="B51" s="3"/>
      <c r="C51" s="3"/>
      <c r="D51" s="3"/>
      <c r="E51" s="113"/>
      <c r="F51" s="113"/>
      <c r="G51" s="113"/>
      <c r="H51" s="292"/>
      <c r="I51" s="250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270" t="s">
        <v>27</v>
      </c>
      <c r="C53" s="270"/>
      <c r="D53" s="270"/>
      <c r="E53" s="3"/>
      <c r="F53" s="3"/>
      <c r="G53" s="3"/>
      <c r="H53" s="3"/>
      <c r="I53" s="3"/>
    </row>
    <row r="54" spans="1:9" ht="4.5" customHeight="1" thickBot="1">
      <c r="A54" s="3"/>
      <c r="B54" s="3"/>
      <c r="C54" s="3"/>
      <c r="D54" s="3"/>
      <c r="E54" s="3"/>
      <c r="F54" s="3"/>
      <c r="G54" s="3"/>
      <c r="H54" s="3"/>
      <c r="I54" s="3"/>
    </row>
    <row r="55" spans="1:9" ht="43.5" customHeight="1" thickBot="1">
      <c r="A55" s="3"/>
      <c r="B55" s="279" t="s">
        <v>69</v>
      </c>
      <c r="C55" s="280"/>
      <c r="D55" s="280"/>
      <c r="E55" s="280"/>
      <c r="F55" s="280"/>
      <c r="G55" s="280"/>
      <c r="H55" s="281"/>
      <c r="I55" s="27"/>
    </row>
    <row r="56" spans="1:9" ht="5.25" customHeight="1" thickBot="1">
      <c r="A56" s="3"/>
      <c r="B56" s="28"/>
      <c r="C56" s="29"/>
      <c r="D56" s="29"/>
      <c r="E56" s="29"/>
      <c r="F56" s="29"/>
      <c r="G56" s="29"/>
      <c r="H56" s="29"/>
      <c r="I56" s="35"/>
    </row>
    <row r="57" spans="1:9" ht="42.75" customHeight="1" thickBot="1">
      <c r="A57" s="3"/>
      <c r="B57" s="282" t="s">
        <v>68</v>
      </c>
      <c r="C57" s="282"/>
      <c r="D57" s="282"/>
      <c r="E57" s="282"/>
      <c r="F57" s="282"/>
      <c r="G57" s="282"/>
      <c r="H57" s="283"/>
      <c r="I57" s="27"/>
    </row>
    <row r="58" spans="1:9" ht="5.25" customHeight="1" thickBot="1">
      <c r="A58" s="3"/>
      <c r="B58" s="30"/>
      <c r="C58" s="31"/>
      <c r="D58" s="31"/>
      <c r="E58" s="31"/>
      <c r="F58" s="31"/>
      <c r="G58" s="31"/>
      <c r="H58" s="31"/>
      <c r="I58" s="4"/>
    </row>
    <row r="59" spans="1:9" ht="25.5" customHeight="1" thickBot="1">
      <c r="A59" s="3"/>
      <c r="B59" s="283" t="s">
        <v>71</v>
      </c>
      <c r="C59" s="284"/>
      <c r="D59" s="284"/>
      <c r="E59" s="284"/>
      <c r="F59" s="284"/>
      <c r="G59" s="284"/>
      <c r="H59" s="285"/>
      <c r="I59" s="26"/>
    </row>
    <row r="60" spans="1:9" ht="7.5" customHeight="1" thickBot="1">
      <c r="A60" s="3"/>
      <c r="B60" s="32"/>
      <c r="C60" s="32"/>
      <c r="D60" s="32"/>
      <c r="E60" s="32"/>
      <c r="F60" s="32"/>
      <c r="G60" s="32"/>
      <c r="H60" s="32"/>
      <c r="I60" s="3"/>
    </row>
    <row r="61" spans="1:9" ht="47.25" customHeight="1" thickBot="1">
      <c r="A61" s="3"/>
      <c r="B61" s="279" t="s">
        <v>70</v>
      </c>
      <c r="C61" s="280"/>
      <c r="D61" s="280"/>
      <c r="E61" s="280"/>
      <c r="F61" s="280"/>
      <c r="G61" s="280"/>
      <c r="H61" s="281"/>
      <c r="I61" s="27"/>
    </row>
    <row r="62" spans="1:9" ht="6.75" customHeight="1" thickBot="1">
      <c r="A62" s="3"/>
      <c r="B62" s="33"/>
      <c r="C62" s="33"/>
      <c r="D62" s="33"/>
      <c r="E62" s="33"/>
      <c r="F62" s="33"/>
      <c r="G62" s="33"/>
      <c r="H62" s="33"/>
      <c r="I62" s="3"/>
    </row>
    <row r="63" spans="1:9" ht="75.75" customHeight="1" thickBot="1">
      <c r="A63" s="3"/>
      <c r="B63" s="286" t="s">
        <v>72</v>
      </c>
      <c r="C63" s="287"/>
      <c r="D63" s="287"/>
      <c r="E63" s="287"/>
      <c r="F63" s="287"/>
      <c r="G63" s="287"/>
      <c r="H63" s="288"/>
      <c r="I63" s="27"/>
    </row>
    <row r="64" spans="1:9" ht="15">
      <c r="A64" s="3"/>
      <c r="B64" s="33"/>
      <c r="C64" s="33"/>
      <c r="D64" s="33"/>
      <c r="E64" s="33"/>
      <c r="F64" s="33"/>
      <c r="G64" s="33"/>
      <c r="H64" s="33"/>
      <c r="I64" s="3"/>
    </row>
    <row r="65" spans="1:9" ht="45.75" customHeight="1" thickBot="1">
      <c r="A65" s="3"/>
      <c r="B65" s="294" t="s">
        <v>73</v>
      </c>
      <c r="C65" s="295"/>
      <c r="D65" s="295"/>
      <c r="E65" s="295"/>
      <c r="F65" s="295"/>
      <c r="G65" s="295"/>
      <c r="H65" s="296"/>
      <c r="I65" s="15"/>
    </row>
    <row r="66" spans="1:9" ht="31.5" customHeight="1" thickBot="1">
      <c r="A66" s="3"/>
      <c r="B66" s="297"/>
      <c r="C66" s="298"/>
      <c r="D66" s="298"/>
      <c r="E66" s="298"/>
      <c r="F66" s="298"/>
      <c r="G66" s="298"/>
      <c r="H66" s="299"/>
      <c r="I66" s="27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42" customHeight="1">
      <c r="A69" s="3"/>
      <c r="B69" s="242"/>
      <c r="C69" s="242"/>
      <c r="D69" s="242"/>
      <c r="E69" s="16"/>
      <c r="F69" s="16"/>
      <c r="G69" s="16"/>
      <c r="H69" s="3"/>
      <c r="I69" s="3"/>
    </row>
    <row r="70" spans="1:9" ht="15">
      <c r="A70" s="3"/>
      <c r="B70" s="300" t="s">
        <v>28</v>
      </c>
      <c r="C70" s="300"/>
      <c r="D70" s="300"/>
      <c r="E70" s="300" t="s">
        <v>205</v>
      </c>
      <c r="F70" s="300"/>
      <c r="G70" s="300"/>
      <c r="H70" s="164"/>
      <c r="I70" s="3"/>
    </row>
    <row r="71" spans="1:9" ht="9" customHeight="1">
      <c r="A71" s="3"/>
      <c r="B71" s="261" t="s">
        <v>29</v>
      </c>
      <c r="C71" s="261"/>
      <c r="D71" s="261"/>
      <c r="E71" s="261" t="s">
        <v>30</v>
      </c>
      <c r="F71" s="261"/>
      <c r="G71" s="261"/>
      <c r="H71" s="19" t="s">
        <v>31</v>
      </c>
      <c r="I71" s="3"/>
    </row>
    <row r="72" spans="1:9" ht="15">
      <c r="A72" s="3"/>
      <c r="B72" s="3"/>
      <c r="C72" s="20" t="s">
        <v>32</v>
      </c>
      <c r="D72" s="3"/>
      <c r="E72" s="3"/>
      <c r="F72" s="3"/>
      <c r="G72" s="166" t="s">
        <v>206</v>
      </c>
      <c r="H72" s="165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  <row r="75" spans="1:9" ht="15">
      <c r="A75" s="293" t="s">
        <v>37</v>
      </c>
      <c r="B75" s="293"/>
      <c r="C75" s="293"/>
      <c r="D75" s="293"/>
      <c r="E75" s="293"/>
      <c r="F75" s="17"/>
      <c r="G75" s="17"/>
      <c r="H75" s="17"/>
      <c r="I75" s="3"/>
    </row>
    <row r="76" spans="1:9" ht="15">
      <c r="A76" s="293" t="s">
        <v>38</v>
      </c>
      <c r="B76" s="293"/>
      <c r="C76" s="293"/>
      <c r="D76" s="293"/>
      <c r="E76" s="293"/>
      <c r="F76" s="17"/>
      <c r="G76" s="17"/>
      <c r="H76" s="17"/>
      <c r="I76" s="3"/>
    </row>
    <row r="77" spans="1:9" ht="15">
      <c r="A77" s="293" t="s">
        <v>39</v>
      </c>
      <c r="B77" s="293"/>
      <c r="C77" s="293"/>
      <c r="D77" s="293"/>
      <c r="E77" s="293"/>
      <c r="F77" s="17"/>
      <c r="G77" s="17"/>
      <c r="H77" s="17"/>
      <c r="I77" s="3"/>
    </row>
    <row r="78" spans="1:9" ht="15">
      <c r="A78" s="293" t="s">
        <v>40</v>
      </c>
      <c r="B78" s="293"/>
      <c r="C78" s="293"/>
      <c r="D78" s="293"/>
      <c r="E78" s="293"/>
      <c r="F78" s="293"/>
      <c r="G78" s="293"/>
      <c r="H78" s="293"/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</sheetData>
  <sheetProtection/>
  <mergeCells count="58">
    <mergeCell ref="D42:I42"/>
    <mergeCell ref="A43:C43"/>
    <mergeCell ref="D43:I43"/>
    <mergeCell ref="A75:E75"/>
    <mergeCell ref="A76:E76"/>
    <mergeCell ref="A77:E77"/>
    <mergeCell ref="A78:H78"/>
    <mergeCell ref="B65:H65"/>
    <mergeCell ref="B66:H66"/>
    <mergeCell ref="B69:D69"/>
    <mergeCell ref="B70:D70"/>
    <mergeCell ref="E70:G70"/>
    <mergeCell ref="A46:I46"/>
    <mergeCell ref="B48:D48"/>
    <mergeCell ref="H50:I50"/>
    <mergeCell ref="H51:I51"/>
    <mergeCell ref="B71:D71"/>
    <mergeCell ref="E71:G71"/>
    <mergeCell ref="B53:D53"/>
    <mergeCell ref="B55:H55"/>
    <mergeCell ref="B57:H57"/>
    <mergeCell ref="B59:H59"/>
    <mergeCell ref="B61:H61"/>
    <mergeCell ref="B63:H63"/>
    <mergeCell ref="G35:H35"/>
    <mergeCell ref="G37:H37"/>
    <mergeCell ref="B39:H39"/>
    <mergeCell ref="A41:C41"/>
    <mergeCell ref="D41:I41"/>
    <mergeCell ref="A45:C45"/>
    <mergeCell ref="D45:I45"/>
    <mergeCell ref="A44:C44"/>
    <mergeCell ref="D44:I44"/>
    <mergeCell ref="A42:C42"/>
    <mergeCell ref="B17:H17"/>
    <mergeCell ref="B19:H19"/>
    <mergeCell ref="B21:H21"/>
    <mergeCell ref="I21:I22"/>
    <mergeCell ref="B22:D22"/>
    <mergeCell ref="E22:H22"/>
    <mergeCell ref="B24:H24"/>
    <mergeCell ref="B26:H26"/>
    <mergeCell ref="A28:I28"/>
    <mergeCell ref="A30:I30"/>
    <mergeCell ref="G33:H33"/>
    <mergeCell ref="G34:I34"/>
    <mergeCell ref="D1:F1"/>
    <mergeCell ref="B2:H2"/>
    <mergeCell ref="A4:C4"/>
    <mergeCell ref="A5:C5"/>
    <mergeCell ref="A7:I7"/>
    <mergeCell ref="A8:I8"/>
    <mergeCell ref="B10:C10"/>
    <mergeCell ref="F10:H10"/>
    <mergeCell ref="B12:C12"/>
    <mergeCell ref="F12:H12"/>
    <mergeCell ref="B14:C14"/>
    <mergeCell ref="F14:H1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Романова</dc:creator>
  <cp:keywords/>
  <dc:description/>
  <cp:lastModifiedBy>Евгения Василенко</cp:lastModifiedBy>
  <cp:lastPrinted>2014-10-23T11:48:26Z</cp:lastPrinted>
  <dcterms:created xsi:type="dcterms:W3CDTF">2014-07-16T17:57:32Z</dcterms:created>
  <dcterms:modified xsi:type="dcterms:W3CDTF">2016-02-09T09:31:35Z</dcterms:modified>
  <cp:category/>
  <cp:version/>
  <cp:contentType/>
  <cp:contentStatus/>
</cp:coreProperties>
</file>